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tonwalker/Desktop/"/>
    </mc:Choice>
  </mc:AlternateContent>
  <xr:revisionPtr revIDLastSave="0" documentId="13_ncr:1_{C5F08396-92B8-F54A-88A0-6FEF508A9AA7}" xr6:coauthVersionLast="47" xr6:coauthVersionMax="47" xr10:uidLastSave="{00000000-0000-0000-0000-000000000000}"/>
  <bookViews>
    <workbookView xWindow="1480" yWindow="760" windowWidth="27180" windowHeight="13800" activeTab="1" xr2:uid="{00000000-000D-0000-FFFF-FFFF00000000}"/>
  </bookViews>
  <sheets>
    <sheet name="Kickstarter" sheetId="1" r:id="rId1"/>
    <sheet name="Outcomes Based on Goals" sheetId="14" r:id="rId2"/>
    <sheet name="Descriptive Statistics" sheetId="10" r:id="rId3"/>
    <sheet name="Theater Outcomes by Launch Date" sheetId="13" r:id="rId4"/>
    <sheet name="Successful US Kickstarters" sheetId="8" r:id="rId5"/>
    <sheet name="Failed US Kickstarters" sheetId="9" r:id="rId6"/>
    <sheet name="Edinburgh Research" sheetId="6" r:id="rId7"/>
    <sheet name="Category Statistics" sheetId="3" r:id="rId8"/>
    <sheet name="Subcategory Statistics" sheetId="5" r:id="rId9"/>
    <sheet name="Outcomes Based on Launch Date" sheetId="4" r:id="rId10"/>
    <sheet name="Box &amp; Whisker of GB Plays" sheetId="12" r:id="rId11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nm.Print_Titles" localSheetId="6">'Edinburgh Research'!$1:$1</definedName>
  </definedNames>
  <calcPr calcId="191029"/>
  <pivotCaches>
    <pivotCache cacheId="50" r:id="rId12"/>
    <pivotCache cacheId="51" r:id="rId13"/>
    <pivotCache cacheId="5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" i="14" l="1"/>
  <c r="B11" i="14"/>
  <c r="B10" i="14"/>
  <c r="B9" i="14"/>
  <c r="B8" i="14"/>
  <c r="B7" i="14"/>
  <c r="B6" i="14"/>
  <c r="B5" i="14"/>
  <c r="B4" i="14"/>
  <c r="B3" i="14"/>
  <c r="C12" i="14"/>
  <c r="C11" i="14"/>
  <c r="C10" i="14"/>
  <c r="C9" i="14"/>
  <c r="C8" i="14"/>
  <c r="C7" i="14"/>
  <c r="C6" i="14"/>
  <c r="C5" i="14"/>
  <c r="C4" i="14"/>
  <c r="C3" i="14"/>
  <c r="D13" i="14"/>
  <c r="D12" i="14"/>
  <c r="D11" i="14"/>
  <c r="D10" i="14"/>
  <c r="D9" i="14"/>
  <c r="D8" i="14"/>
  <c r="D7" i="14"/>
  <c r="D6" i="14"/>
  <c r="D5" i="14"/>
  <c r="D4" i="14"/>
  <c r="D3" i="14"/>
  <c r="C13" i="14"/>
  <c r="B13" i="14"/>
  <c r="D2" i="14"/>
  <c r="C2" i="14"/>
  <c r="B2" i="14"/>
  <c r="C13" i="10"/>
  <c r="C12" i="10"/>
  <c r="C11" i="10"/>
  <c r="B13" i="10"/>
  <c r="B12" i="10"/>
  <c r="B11" i="10"/>
  <c r="C6" i="10"/>
  <c r="C5" i="10"/>
  <c r="C4" i="10"/>
  <c r="B6" i="10"/>
  <c r="B7" i="10" s="1"/>
  <c r="B5" i="10"/>
  <c r="B4" i="10"/>
  <c r="C10" i="10"/>
  <c r="B10" i="10"/>
  <c r="B3" i="10"/>
  <c r="C9" i="10"/>
  <c r="B9" i="10"/>
  <c r="B2" i="10"/>
  <c r="C3" i="10"/>
  <c r="C2" i="10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  <c r="E12" i="14" l="1"/>
  <c r="F12" i="14" s="1"/>
  <c r="E13" i="14"/>
  <c r="F13" i="14" s="1"/>
  <c r="E11" i="14"/>
  <c r="F11" i="14" s="1"/>
  <c r="E10" i="14"/>
  <c r="F10" i="14" s="1"/>
  <c r="E9" i="14"/>
  <c r="F9" i="14" s="1"/>
  <c r="E7" i="14"/>
  <c r="F7" i="14" s="1"/>
  <c r="E6" i="14"/>
  <c r="F6" i="14" s="1"/>
  <c r="E5" i="14"/>
  <c r="F5" i="14" s="1"/>
  <c r="E4" i="14"/>
  <c r="F4" i="14" s="1"/>
  <c r="E2" i="14"/>
  <c r="F2" i="14" s="1"/>
  <c r="E3" i="14"/>
  <c r="F3" i="14" s="1"/>
  <c r="E8" i="14"/>
  <c r="F8" i="14" s="1"/>
  <c r="C14" i="10"/>
  <c r="B14" i="10"/>
  <c r="C7" i="10"/>
  <c r="G6" i="14" l="1"/>
  <c r="H7" i="14"/>
  <c r="H11" i="14"/>
  <c r="H8" i="14"/>
  <c r="H13" i="14"/>
  <c r="G7" i="14"/>
  <c r="G12" i="14"/>
  <c r="G11" i="14"/>
  <c r="H12" i="14"/>
  <c r="G5" i="14"/>
  <c r="G10" i="14"/>
  <c r="H6" i="14"/>
  <c r="G13" i="14"/>
  <c r="G4" i="14"/>
  <c r="H5" i="14"/>
  <c r="G2" i="14"/>
  <c r="G9" i="14"/>
  <c r="H4" i="14"/>
  <c r="H10" i="14"/>
  <c r="G3" i="14"/>
  <c r="G8" i="14"/>
  <c r="H2" i="14"/>
  <c r="H9" i="14"/>
  <c r="H3" i="14"/>
</calcChain>
</file>

<file path=xl/sharedStrings.xml><?xml version="1.0" encoding="utf-8"?>
<sst xmlns="http://schemas.openxmlformats.org/spreadsheetml/2006/main" count="38421" uniqueCount="8416">
  <si>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</si>
  <si>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</si>
  <si>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</si>
  <si>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</si>
  <si>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</si>
  <si>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</si>
  <si>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</si>
  <si>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</si>
  <si>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</si>
  <si>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</si>
  <si>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</si>
  <si>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</si>
  <si>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</si>
  <si>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</si>
  <si>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</si>
  <si>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</si>
  <si>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</si>
  <si>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</si>
  <si>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</si>
  <si>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</si>
  <si>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</si>
  <si>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</si>
  <si>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</si>
  <si>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</si>
  <si>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</si>
  <si>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</si>
  <si>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</si>
  <si>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</si>
  <si>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</si>
  <si>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</si>
  <si>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</si>
  <si>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</si>
  <si>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</si>
  <si>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</si>
  <si>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</si>
  <si>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</si>
  <si>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</si>
  <si>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</si>
  <si>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</si>
  <si>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</si>
  <si>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</si>
  <si>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</si>
  <si>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</si>
  <si>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</si>
  <si>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</si>
  <si>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</si>
  <si>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</si>
  <si>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</si>
  <si>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</si>
  <si>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</si>
  <si>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</si>
  <si>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</si>
  <si>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</si>
  <si>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</si>
  <si>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</si>
  <si>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</si>
  <si>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</si>
  <si>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</si>
  <si>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</si>
  <si>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</si>
  <si>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</si>
  <si>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</si>
  <si>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</si>
  <si>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</si>
  <si>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</si>
  <si>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</si>
  <si>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</si>
  <si>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</si>
  <si>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</si>
  <si>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</si>
  <si>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</si>
  <si>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</si>
  <si>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</si>
  <si>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</si>
  <si>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</si>
  <si>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</si>
  <si>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</si>
  <si>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</si>
  <si>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</si>
  <si>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</si>
  <si>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</si>
  <si>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</si>
  <si>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</si>
  <si>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</si>
  <si>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</si>
  <si>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</si>
  <si>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</si>
  <si>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</si>
  <si>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</si>
  <si>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</si>
  <si>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</si>
  <si>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</si>
  <si>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</si>
  <si>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</si>
  <si>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</si>
  <si>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</si>
  <si>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</si>
  <si>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</si>
  <si>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</si>
  <si>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</si>
  <si>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</si>
  <si>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</si>
  <si>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</si>
  <si>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</si>
  <si>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</si>
  <si>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</si>
  <si>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</si>
  <si>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</si>
  <si>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</si>
  <si>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</si>
  <si>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</si>
  <si>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</si>
  <si>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</si>
  <si>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</si>
  <si>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</si>
  <si>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</si>
  <si>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</si>
  <si>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</si>
  <si>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</si>
  <si>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</si>
  <si>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</si>
  <si>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</si>
  <si>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</si>
  <si>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</si>
  <si>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</si>
  <si>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</si>
  <si>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</si>
  <si>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</si>
  <si>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</si>
  <si>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</si>
  <si>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</si>
  <si>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</si>
  <si>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</si>
  <si>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</si>
  <si>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</si>
  <si>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</si>
  <si>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</si>
  <si>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</si>
  <si>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</si>
  <si>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</si>
  <si>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</si>
  <si>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</si>
  <si>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</si>
  <si>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</si>
  <si>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</si>
  <si>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</si>
  <si>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</si>
  <si>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</si>
  <si>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</si>
  <si>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</si>
  <si>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</si>
  <si>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</si>
  <si>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</si>
  <si>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</si>
  <si>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</si>
  <si>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</si>
  <si>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</si>
  <si>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</si>
  <si>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</si>
  <si>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</si>
  <si>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</si>
  <si>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</si>
  <si>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</si>
  <si>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</si>
  <si>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</si>
  <si>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</si>
  <si>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</si>
  <si>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</si>
  <si>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</si>
  <si>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</si>
  <si>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</si>
  <si>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</si>
  <si>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</si>
  <si>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</si>
  <si>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</si>
  <si>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</si>
  <si>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</si>
  <si>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</si>
  <si>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</si>
  <si>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</si>
  <si>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</si>
  <si>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</si>
  <si>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</si>
  <si>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</si>
  <si>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</si>
  <si>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</si>
  <si>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</si>
  <si>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</si>
  <si>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</si>
  <si>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</si>
  <si>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</si>
  <si>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</si>
  <si>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</si>
  <si>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</si>
  <si>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</si>
  <si>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</si>
  <si>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</si>
  <si>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</si>
  <si>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</si>
  <si>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</si>
  <si>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</si>
  <si>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</si>
  <si>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</si>
  <si>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</si>
  <si>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</si>
  <si>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</si>
  <si>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</si>
  <si>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</si>
  <si>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</si>
  <si>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</si>
  <si>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</si>
  <si>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</si>
  <si>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</si>
  <si>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</si>
  <si>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</si>
  <si>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</si>
  <si>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</si>
  <si>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</si>
  <si>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</si>
  <si>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</si>
  <si>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</si>
  <si>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</si>
  <si>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</si>
  <si>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</si>
  <si>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</si>
  <si>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</si>
  <si>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</si>
  <si>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</si>
  <si>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</si>
  <si>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</si>
  <si>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</si>
  <si>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</si>
  <si>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</si>
  <si>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</si>
  <si>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</si>
  <si>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</si>
  <si>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</si>
  <si>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</si>
  <si>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</si>
  <si>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</si>
  <si>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</si>
  <si>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</si>
  <si>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</si>
  <si>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</si>
  <si>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</si>
  <si>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</si>
  <si>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</si>
  <si>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</si>
  <si>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</si>
  <si>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</si>
  <si>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</si>
  <si>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</si>
  <si>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</si>
  <si>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</si>
  <si>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</si>
  <si>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</si>
  <si>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</si>
  <si>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</si>
  <si>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</si>
  <si>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</si>
  <si>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</si>
  <si>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</si>
  <si>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</si>
  <si>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</si>
  <si>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</si>
  <si>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</si>
  <si>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</si>
  <si>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</si>
  <si>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</si>
  <si>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</si>
  <si>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</si>
  <si>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</si>
  <si>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</si>
  <si>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</si>
  <si>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</si>
  <si>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</si>
  <si>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</si>
  <si>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</si>
  <si>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</si>
  <si>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</si>
  <si>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</si>
  <si>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</si>
  <si>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</si>
  <si>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</si>
  <si>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</si>
  <si>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</si>
  <si>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</si>
  <si>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</si>
  <si>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</si>
  <si>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</si>
  <si>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</si>
  <si>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</si>
  <si>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</si>
  <si>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</si>
  <si>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</si>
  <si>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</si>
  <si>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</si>
  <si>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</si>
  <si>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</si>
  <si>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</si>
  <si>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</si>
  <si>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</si>
  <si>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</si>
  <si>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</si>
  <si>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</si>
  <si>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</si>
  <si>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</si>
  <si>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</si>
  <si>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</si>
  <si>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</si>
  <si>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</si>
  <si>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</si>
  <si>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</si>
  <si>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</si>
  <si>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</si>
  <si>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</si>
  <si>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</si>
  <si>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</si>
  <si>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</si>
  <si>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</si>
  <si>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</si>
  <si>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</si>
  <si>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</si>
  <si>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</si>
  <si>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</si>
  <si>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</si>
  <si>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</si>
  <si>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</si>
  <si>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</si>
  <si>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</si>
  <si>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</si>
  <si>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</si>
  <si>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</si>
  <si>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</si>
  <si>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</si>
  <si>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</si>
  <si>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</si>
  <si>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</si>
  <si>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</si>
  <si>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</si>
  <si>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</si>
  <si>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</si>
  <si>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</si>
  <si>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</si>
  <si>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</si>
  <si>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</si>
  <si>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</si>
  <si>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</si>
  <si>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</si>
  <si>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</si>
  <si>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</si>
  <si>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</si>
  <si>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</si>
  <si>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</si>
  <si>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</si>
  <si>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</si>
  <si>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</si>
  <si>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</si>
  <si>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</si>
  <si>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</si>
  <si>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</si>
  <si>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</si>
  <si>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</si>
  <si>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</si>
  <si>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</si>
  <si>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</si>
  <si>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</si>
  <si>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</si>
  <si>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</si>
  <si>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</si>
  <si>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</si>
  <si>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</si>
  <si>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</si>
  <si>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</si>
  <si>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</si>
  <si>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</si>
  <si>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</si>
  <si>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</si>
  <si>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</si>
  <si>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</si>
  <si>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</si>
  <si>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</si>
  <si>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</si>
  <si>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</si>
  <si>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</si>
  <si>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</si>
  <si>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</si>
  <si>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</si>
  <si>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</si>
  <si>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</si>
  <si>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</si>
  <si>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</si>
  <si>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</si>
  <si>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</si>
  <si>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</si>
  <si>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</si>
  <si>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</si>
  <si>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</si>
  <si>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</si>
  <si>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</si>
  <si>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</si>
  <si>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</si>
  <si>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</si>
  <si>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</si>
  <si>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</si>
  <si>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</si>
  <si>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</si>
  <si>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</si>
  <si>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</si>
  <si>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</si>
  <si>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</si>
  <si>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</si>
  <si>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</si>
  <si>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</si>
  <si>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</si>
  <si>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</si>
  <si>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</si>
  <si>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</si>
  <si>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</si>
  <si>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</si>
  <si>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</si>
  <si>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</si>
  <si>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</si>
  <si>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</si>
  <si>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</si>
  <si>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</si>
  <si>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</si>
  <si>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</si>
  <si>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</si>
  <si>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</si>
  <si>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</si>
  <si>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</si>
  <si>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</si>
  <si>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</si>
  <si>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</si>
  <si>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</si>
  <si>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</si>
  <si>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</si>
  <si>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</si>
  <si>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</si>
  <si>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</si>
  <si>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</si>
  <si>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</si>
  <si>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</si>
  <si>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</si>
  <si>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</si>
  <si>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</si>
  <si>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</si>
  <si>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</si>
  <si>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</si>
  <si>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</si>
  <si>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</si>
  <si>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</si>
  <si>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</si>
  <si>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</si>
  <si>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</si>
  <si>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</si>
  <si>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</si>
  <si>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</si>
  <si>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</si>
  <si>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</si>
  <si>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</si>
  <si>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</si>
  <si>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</si>
  <si>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</si>
  <si>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</si>
  <si>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</si>
  <si>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</si>
  <si>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</si>
  <si>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</si>
  <si>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</si>
  <si>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</si>
  <si>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</si>
  <si>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</si>
  <si>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</si>
  <si>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</si>
  <si>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</si>
  <si>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</si>
  <si>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</si>
  <si>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</si>
  <si>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</si>
  <si>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</si>
  <si>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</si>
  <si>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</si>
  <si>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</si>
  <si>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</si>
  <si>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</si>
  <si>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</si>
  <si>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</si>
  <si>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</si>
  <si>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</si>
  <si>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</si>
  <si>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</si>
  <si>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</si>
  <si>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</si>
  <si>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</si>
  <si>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</si>
  <si>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</si>
  <si>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</si>
  <si>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</si>
  <si>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</si>
  <si>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</si>
  <si>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</si>
  <si>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</si>
  <si>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</si>
  <si>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</si>
  <si>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</si>
  <si>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</si>
  <si>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</si>
  <si>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</si>
  <si>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</si>
  <si>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</si>
  <si>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</si>
  <si>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</si>
  <si>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</si>
  <si>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</si>
  <si>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</si>
  <si>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</si>
  <si>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</si>
  <si>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</si>
  <si>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</si>
  <si>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</si>
  <si>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</si>
  <si>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</si>
  <si>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</si>
  <si>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</si>
  <si>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</si>
  <si>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</si>
  <si>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</si>
  <si>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</si>
  <si>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</si>
  <si>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</si>
  <si>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</si>
  <si>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</si>
  <si>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</si>
  <si>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</si>
  <si>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</si>
  <si>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</si>
  <si>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</si>
  <si>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</si>
  <si>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</si>
  <si>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</si>
  <si>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</si>
  <si>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</si>
  <si>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</si>
  <si>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</si>
  <si>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</si>
  <si>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</si>
  <si>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</si>
  <si>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</si>
  <si>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</si>
  <si>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</si>
  <si>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</si>
  <si>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</si>
  <si>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</si>
  <si>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</si>
  <si>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</si>
  <si>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</si>
  <si>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</si>
  <si>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</si>
  <si>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</si>
  <si>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</si>
  <si>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</si>
  <si>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</si>
  <si>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</si>
  <si>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</si>
  <si>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</si>
  <si>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</si>
  <si>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</si>
  <si>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</si>
  <si>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</si>
  <si>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</si>
  <si>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</si>
  <si>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</si>
  <si>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</si>
  <si>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</si>
  <si>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</si>
  <si>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</si>
  <si>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</si>
  <si>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</si>
  <si>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</si>
  <si>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</si>
  <si>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</si>
  <si>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</si>
  <si>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</si>
  <si>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</si>
  <si>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</si>
  <si>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</si>
  <si>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</si>
  <si>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</si>
  <si>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</si>
  <si>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</si>
  <si>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</si>
  <si>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</si>
  <si>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</si>
  <si>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</si>
  <si>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</si>
  <si>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</si>
  <si>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</si>
  <si>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</si>
  <si>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</si>
  <si>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</si>
  <si>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</si>
  <si>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</si>
  <si>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</si>
  <si>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</si>
  <si>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</si>
  <si>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</si>
  <si>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</si>
  <si>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</si>
  <si>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</si>
  <si>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</si>
  <si>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</si>
  <si>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</si>
  <si>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</si>
  <si>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</si>
  <si>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</si>
  <si>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</si>
  <si>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</si>
  <si>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</si>
  <si>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</si>
  <si>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</si>
  <si>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</si>
  <si>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</si>
  <si>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</si>
  <si>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</si>
  <si>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</si>
  <si>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</si>
  <si>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</si>
  <si>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</si>
  <si>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</si>
  <si>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</si>
  <si>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</si>
  <si>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</si>
  <si>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</si>
  <si>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</si>
  <si>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</si>
  <si>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</si>
  <si>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</si>
  <si>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</si>
  <si>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</si>
  <si>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</si>
  <si>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</si>
  <si>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</si>
  <si>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</si>
  <si>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</si>
  <si>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</si>
  <si>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</si>
  <si>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</si>
  <si>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</si>
  <si>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</si>
  <si>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</si>
  <si>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</si>
  <si>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</si>
  <si>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</si>
  <si>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</si>
  <si>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</si>
  <si>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</si>
  <si>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</si>
  <si>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</si>
  <si>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</si>
  <si>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</si>
  <si>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</si>
  <si>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</si>
  <si>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</si>
  <si>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</si>
  <si>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</si>
  <si>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</si>
  <si>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</si>
  <si>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</si>
  <si>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</si>
  <si>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</si>
  <si>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</si>
  <si>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</si>
  <si>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</si>
  <si>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</si>
  <si>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</si>
  <si>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</si>
  <si>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</si>
  <si>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</si>
  <si>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</si>
  <si>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</si>
  <si>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</si>
  <si>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</si>
  <si>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</si>
  <si>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</si>
  <si>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</si>
  <si>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</si>
  <si>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</si>
  <si>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</si>
  <si>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</si>
  <si>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</si>
  <si>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</si>
  <si>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</si>
  <si>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</si>
  <si>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</si>
  <si>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</si>
  <si>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</si>
  <si>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</si>
  <si>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</si>
  <si>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</si>
  <si>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</si>
  <si>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</si>
  <si>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</si>
  <si>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</si>
  <si>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</si>
  <si>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</si>
  <si>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</si>
  <si>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</si>
  <si>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</si>
  <si>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</si>
  <si>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</si>
  <si>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</si>
  <si>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</si>
  <si>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</si>
  <si>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</si>
  <si>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</si>
  <si>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</si>
  <si>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</si>
  <si>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</si>
  <si>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</si>
  <si>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</si>
  <si>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</si>
  <si>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</si>
  <si>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</si>
  <si>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</si>
  <si>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</si>
  <si>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</si>
  <si>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</si>
  <si>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</si>
  <si>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</si>
  <si>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</si>
  <si>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</si>
  <si>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</si>
  <si>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</si>
  <si>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</si>
  <si>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</si>
  <si>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</si>
  <si>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</si>
  <si>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</si>
  <si>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</si>
  <si>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</si>
  <si>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</si>
  <si>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</si>
  <si>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</si>
  <si>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</si>
  <si>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</si>
  <si>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</si>
  <si>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</si>
  <si>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</si>
  <si>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</si>
  <si>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</si>
  <si>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</si>
  <si>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</si>
  <si>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</si>
  <si>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</si>
  <si>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</si>
  <si>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</si>
  <si>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</si>
  <si>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</si>
  <si>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</si>
  <si>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</si>
  <si>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</si>
  <si>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</si>
  <si>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</si>
  <si>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</si>
  <si>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</si>
  <si>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</si>
  <si>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</si>
  <si>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</si>
  <si>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</si>
  <si>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</si>
  <si>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</si>
  <si>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</si>
  <si>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</si>
  <si>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</si>
  <si>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</si>
  <si>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</si>
  <si>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</si>
  <si>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</si>
  <si>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</si>
  <si>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</si>
  <si>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</si>
  <si>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</si>
  <si>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</si>
  <si>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</si>
  <si>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</si>
  <si>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</si>
  <si>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</si>
  <si>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</si>
  <si>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</si>
  <si>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</si>
  <si>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</si>
  <si>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</si>
  <si>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</si>
  <si>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</si>
  <si>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</si>
  <si>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</si>
  <si>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</si>
  <si>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</si>
  <si>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</si>
  <si>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</si>
  <si>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</si>
  <si>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</si>
  <si>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</si>
  <si>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</si>
  <si>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</si>
  <si>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</si>
  <si>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</si>
  <si>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</si>
  <si>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</si>
  <si>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</si>
  <si>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</si>
  <si>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</si>
  <si>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</si>
  <si>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</si>
  <si>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</si>
  <si>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</si>
  <si>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</si>
  <si>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</si>
  <si>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</si>
  <si>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</si>
  <si>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</si>
  <si>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</si>
  <si>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</si>
  <si>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</si>
  <si>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</si>
  <si>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</si>
  <si>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</si>
  <si>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</si>
  <si>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</si>
  <si>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</si>
  <si>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</si>
  <si>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</si>
  <si>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</si>
  <si>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</si>
  <si>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</si>
  <si>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</si>
  <si>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</si>
  <si>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</si>
  <si>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</si>
  <si>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</si>
  <si>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</si>
  <si>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</si>
  <si>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</si>
  <si>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</si>
  <si>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</si>
  <si>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</si>
  <si>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</si>
  <si>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</si>
  <si>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</si>
  <si>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</si>
  <si>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</si>
  <si>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</si>
  <si>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</si>
  <si>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</si>
  <si>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</si>
  <si>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</si>
  <si>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</si>
  <si>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</si>
  <si>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</si>
  <si>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</si>
  <si>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</si>
  <si>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</si>
  <si>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</si>
  <si>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</si>
  <si>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</si>
  <si>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</si>
  <si>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</si>
  <si>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</si>
  <si>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</si>
  <si>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</si>
  <si>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</si>
  <si>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</si>
  <si>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</si>
  <si>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</si>
  <si>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</si>
  <si>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</si>
  <si>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</si>
  <si>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</si>
  <si>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</si>
  <si>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</si>
  <si>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</si>
  <si>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</si>
  <si>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</si>
  <si>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</si>
  <si>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</si>
  <si>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</si>
  <si>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</si>
  <si>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</si>
  <si>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</si>
  <si>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</si>
  <si>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</si>
  <si>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</si>
  <si>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</si>
  <si>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</si>
  <si>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</si>
  <si>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</si>
  <si>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</si>
  <si>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</si>
  <si>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</si>
  <si>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</si>
  <si>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</si>
  <si>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</si>
  <si>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</si>
  <si>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</si>
  <si>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</si>
  <si>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</si>
  <si>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</si>
  <si>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</si>
  <si>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</si>
  <si>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</si>
  <si>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</si>
  <si>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</si>
  <si>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</si>
  <si>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</si>
  <si>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</si>
  <si>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</si>
  <si>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</si>
  <si>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</si>
  <si>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</si>
  <si>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</si>
  <si>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</si>
  <si>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</si>
  <si>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</si>
  <si>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</si>
  <si>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</si>
  <si>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</si>
  <si>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</si>
  <si>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</si>
  <si>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</si>
  <si>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</si>
  <si>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</si>
  <si>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</si>
  <si>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</si>
  <si>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</si>
  <si>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</si>
  <si>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</si>
  <si>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</si>
  <si>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</si>
  <si>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</si>
  <si>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</si>
  <si>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</si>
  <si>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</si>
  <si>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</si>
  <si>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</si>
  <si>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</si>
  <si>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</si>
  <si>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</si>
  <si>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</si>
  <si>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</si>
  <si>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</si>
  <si>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</si>
  <si>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</si>
  <si>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</si>
  <si>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</si>
  <si>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</si>
  <si>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</si>
  <si>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</si>
  <si>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</si>
  <si>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</si>
  <si>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</si>
  <si>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</si>
  <si>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</si>
  <si>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</si>
  <si>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</si>
  <si>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</si>
  <si>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</si>
  <si>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</si>
  <si>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</si>
  <si>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</si>
  <si>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</si>
  <si>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</si>
  <si>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</si>
  <si>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</si>
  <si>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</si>
  <si>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</si>
  <si>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</si>
  <si>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</si>
  <si>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</si>
  <si>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</si>
  <si>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</si>
  <si>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</si>
  <si>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</si>
  <si>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</si>
  <si>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</si>
  <si>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</si>
  <si>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</si>
  <si>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</si>
  <si>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</si>
  <si>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</si>
  <si>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</si>
  <si>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</si>
  <si>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</si>
  <si>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</si>
  <si>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</si>
  <si>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</si>
  <si>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</si>
  <si>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</si>
  <si>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</si>
  <si>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</si>
  <si>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</si>
  <si>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</si>
  <si>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</si>
  <si>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</si>
  <si>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</si>
  <si>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</si>
  <si>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</si>
  <si>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</si>
  <si>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</si>
  <si>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</si>
  <si>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</si>
  <si>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</si>
  <si>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</si>
  <si>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</si>
  <si>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</si>
  <si>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</si>
  <si>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</si>
  <si>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</si>
  <si>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</si>
  <si>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</si>
  <si>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</si>
  <si>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</si>
  <si>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</si>
  <si>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</si>
  <si>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</si>
  <si>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</si>
  <si>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</si>
  <si>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</si>
  <si>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</si>
  <si>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</si>
  <si>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</si>
  <si>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</si>
  <si>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</si>
  <si>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</si>
  <si>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</si>
  <si>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</si>
  <si>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</si>
  <si>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</si>
  <si>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</si>
  <si>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</si>
  <si>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</si>
  <si>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</si>
  <si>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</si>
  <si>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</si>
  <si>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</si>
  <si>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</si>
  <si>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</si>
  <si>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</si>
  <si>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</si>
  <si>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</si>
  <si>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</si>
  <si>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</si>
  <si>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</si>
  <si>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</si>
  <si>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</si>
  <si>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</si>
  <si>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</si>
  <si>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</si>
  <si>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</si>
  <si>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</si>
  <si>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</si>
  <si>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</si>
  <si>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</si>
  <si>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</si>
  <si>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</si>
  <si>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</si>
  <si>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</si>
  <si>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</si>
  <si>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</si>
  <si>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</si>
  <si>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</si>
  <si>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</si>
  <si>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</si>
  <si>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</si>
  <si>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</si>
  <si>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</si>
  <si>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</si>
  <si>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</si>
  <si>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</si>
  <si>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</si>
  <si>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</si>
  <si>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</si>
  <si>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</si>
  <si>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</si>
  <si>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</si>
  <si>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</si>
  <si>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</si>
  <si>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</si>
  <si>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</si>
  <si>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</si>
  <si>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</si>
  <si>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</si>
  <si>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</si>
  <si>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</si>
  <si>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</si>
  <si>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</si>
  <si>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</si>
  <si>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</si>
  <si>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</si>
  <si>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</si>
  <si>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</si>
  <si>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</si>
  <si>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</si>
  <si>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</si>
  <si>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</si>
  <si>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</si>
  <si>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</si>
  <si>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</si>
  <si>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</si>
  <si>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</si>
  <si>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</si>
  <si>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</si>
  <si>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</si>
  <si>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</si>
  <si>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</si>
  <si>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</si>
  <si>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</si>
  <si>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</si>
  <si>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</si>
  <si>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</si>
  <si>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</si>
  <si>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</si>
  <si>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</si>
  <si>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</si>
  <si>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</si>
  <si>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</si>
  <si>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</si>
  <si>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</si>
  <si>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</si>
  <si>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</si>
  <si>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</si>
  <si>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</si>
  <si>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</si>
  <si>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</si>
  <si>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</si>
  <si>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</si>
  <si>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</si>
  <si>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</si>
  <si>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</si>
  <si>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</si>
  <si>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</si>
  <si>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</si>
  <si>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</si>
  <si>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</si>
  <si>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</si>
  <si>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</si>
  <si>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</si>
  <si>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</si>
  <si>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</si>
  <si>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</si>
  <si>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</si>
  <si>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</si>
  <si>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</si>
  <si>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</si>
  <si>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</si>
  <si>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</si>
  <si>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</si>
  <si>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</si>
  <si>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</si>
  <si>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</si>
  <si>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</si>
  <si>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</si>
  <si>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</si>
  <si>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</si>
  <si>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</si>
  <si>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</si>
  <si>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</si>
  <si>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</si>
  <si>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</si>
  <si>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</si>
  <si>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</si>
  <si>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</si>
  <si>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</si>
  <si>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</si>
  <si>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</si>
  <si>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</si>
  <si>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</si>
  <si>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</si>
  <si>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</si>
  <si>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</si>
  <si>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</si>
  <si>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</si>
  <si>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</si>
  <si>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</si>
  <si>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</si>
  <si>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</si>
  <si>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</si>
  <si>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</si>
  <si>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</si>
  <si>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</si>
  <si>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</si>
  <si>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</si>
  <si>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</si>
  <si>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</si>
  <si>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</si>
  <si>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</si>
  <si>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</si>
  <si>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</si>
  <si>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</si>
  <si>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</si>
  <si>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</si>
  <si>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</si>
  <si>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</si>
  <si>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</si>
  <si>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</si>
  <si>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</si>
  <si>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</si>
  <si>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</si>
  <si>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</si>
  <si>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</si>
  <si>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</si>
  <si>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</si>
  <si>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</si>
  <si>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</si>
  <si>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</si>
  <si>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</si>
  <si>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</si>
  <si>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</si>
  <si>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</si>
  <si>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</si>
  <si>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</si>
  <si>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</si>
  <si>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</si>
  <si>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</si>
  <si>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</si>
  <si>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</si>
  <si>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</si>
  <si>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</si>
  <si>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</si>
  <si>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</si>
  <si>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</si>
  <si>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</si>
  <si>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</si>
  <si>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</si>
  <si>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</si>
  <si>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</si>
  <si>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</si>
  <si>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</si>
  <si>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</si>
  <si>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</si>
  <si>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</si>
  <si>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</si>
  <si>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</si>
  <si>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</si>
  <si>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</si>
  <si>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</si>
  <si>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</si>
  <si>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</si>
  <si>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</si>
  <si>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</si>
  <si>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</si>
  <si>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</si>
  <si>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</si>
  <si>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</si>
  <si>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</si>
  <si>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</si>
  <si>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</si>
  <si>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</si>
  <si>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</si>
  <si>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</si>
  <si>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</si>
  <si>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</si>
  <si>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</si>
  <si>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</si>
  <si>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</si>
  <si>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</si>
  <si>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</si>
  <si>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</si>
  <si>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</si>
  <si>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</si>
  <si>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</si>
  <si>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</si>
  <si>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</si>
  <si>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</si>
  <si>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</si>
  <si>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</si>
  <si>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</si>
  <si>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</si>
  <si>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</si>
  <si>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</si>
  <si>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</si>
  <si>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</si>
  <si>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</si>
  <si>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</si>
  <si>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</si>
  <si>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</si>
  <si>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</si>
  <si>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</si>
  <si>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</si>
  <si>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</si>
  <si>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</si>
  <si>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</si>
  <si>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</si>
  <si>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</si>
  <si>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</si>
  <si>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</si>
  <si>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</si>
  <si>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</si>
  <si>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</si>
  <si>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</si>
  <si>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</si>
  <si>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</si>
  <si>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</si>
  <si>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</si>
  <si>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</si>
  <si>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</si>
  <si>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</si>
  <si>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</si>
  <si>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</si>
  <si>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</si>
  <si>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</si>
  <si>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</si>
  <si>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</si>
  <si>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</si>
  <si>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</si>
  <si>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</si>
  <si>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</si>
  <si>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</si>
  <si>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</si>
  <si>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</si>
  <si>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</si>
  <si>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</si>
  <si>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</si>
  <si>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</si>
  <si>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</si>
  <si>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</si>
  <si>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</si>
  <si>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</si>
  <si>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</si>
  <si>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</si>
  <si>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</si>
  <si>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</si>
  <si>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</si>
  <si>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</si>
  <si>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</si>
  <si>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</si>
  <si>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</si>
  <si>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</si>
  <si>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</si>
  <si>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</si>
  <si>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</si>
  <si>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</si>
  <si>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</si>
  <si>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</si>
  <si>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</si>
  <si>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</si>
  <si>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</si>
  <si>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</si>
  <si>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</si>
  <si>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</si>
  <si>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</si>
  <si>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</si>
  <si>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</si>
  <si>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</si>
  <si>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</si>
  <si>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</si>
  <si>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</si>
  <si>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</si>
  <si>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</si>
  <si>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</si>
  <si>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</si>
  <si>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</si>
  <si>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</si>
  <si>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</si>
  <si>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</si>
  <si>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</si>
  <si>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</si>
  <si>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</si>
  <si>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</si>
  <si>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</si>
  <si>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</si>
  <si>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</si>
  <si>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</si>
  <si>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</si>
  <si>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</si>
  <si>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</si>
  <si>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</si>
  <si>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</si>
  <si>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</si>
  <si>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</si>
  <si>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</si>
  <si>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</si>
  <si>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</si>
  <si>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</si>
  <si>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</si>
  <si>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</si>
  <si>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</si>
  <si>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</si>
  <si>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</si>
  <si>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</si>
  <si>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</si>
  <si>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</si>
  <si>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</si>
  <si>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</si>
  <si>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</si>
  <si>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</si>
  <si>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</si>
  <si>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</si>
  <si>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</si>
  <si>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</si>
  <si>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</si>
  <si>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</si>
  <si>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</si>
  <si>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</si>
  <si>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</si>
  <si>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</si>
  <si>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</si>
  <si>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</si>
  <si>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</si>
  <si>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</si>
  <si>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</si>
  <si>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</si>
  <si>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</si>
  <si>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</si>
  <si>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</si>
  <si>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</si>
  <si>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</si>
  <si>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</si>
  <si>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</si>
  <si>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</si>
  <si>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</si>
  <si>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</si>
  <si>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</si>
  <si>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</si>
  <si>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</si>
  <si>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</si>
  <si>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</si>
  <si>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</si>
  <si>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</si>
  <si>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</si>
  <si>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</si>
  <si>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</si>
  <si>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</si>
  <si>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</si>
  <si>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</si>
  <si>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</si>
  <si>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</si>
  <si>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</si>
  <si>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</si>
  <si>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</si>
  <si>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</si>
  <si>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</si>
  <si>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</si>
  <si>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</si>
  <si>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</si>
  <si>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</si>
  <si>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</si>
  <si>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</si>
  <si>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</si>
  <si>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</si>
  <si>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</si>
  <si>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</si>
  <si>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</si>
  <si>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</si>
  <si>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</si>
  <si>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</si>
  <si>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</si>
  <si>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</si>
  <si>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</si>
  <si>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</si>
  <si>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</si>
  <si>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</si>
  <si>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</si>
  <si>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</si>
  <si>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</si>
  <si>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</si>
  <si>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</si>
  <si>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</si>
  <si>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</si>
  <si>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</si>
  <si>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</si>
  <si>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</si>
  <si>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</si>
  <si>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</si>
  <si>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</si>
  <si>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</si>
  <si>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</si>
  <si>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</si>
  <si>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</si>
  <si>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</si>
  <si>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</si>
  <si>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</si>
  <si>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</si>
  <si>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</si>
  <si>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</si>
  <si>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</si>
  <si>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</si>
  <si>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</si>
  <si>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</si>
  <si>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</si>
  <si>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</si>
  <si>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</si>
  <si>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</si>
  <si>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</si>
  <si>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</si>
  <si>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</si>
  <si>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</si>
  <si>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</si>
  <si>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</si>
  <si>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</si>
  <si>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</si>
  <si>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</si>
  <si>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</si>
  <si>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</si>
  <si>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</si>
  <si>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</si>
  <si>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</si>
  <si>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</si>
  <si>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</si>
  <si>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</si>
  <si>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</si>
  <si>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</si>
  <si>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</si>
  <si>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</si>
  <si>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</si>
  <si>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</si>
  <si>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</si>
  <si>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</si>
  <si>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</si>
  <si>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</si>
  <si>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</si>
  <si>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</si>
  <si>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</si>
  <si>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</si>
  <si>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</si>
  <si>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</si>
  <si>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</si>
  <si>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</si>
  <si>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</si>
  <si>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</si>
  <si>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</si>
  <si>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</si>
  <si>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</si>
  <si>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</si>
  <si>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</si>
  <si>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</si>
  <si>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</si>
  <si>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</si>
  <si>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</si>
  <si>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</si>
  <si>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</si>
  <si>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</si>
  <si>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</si>
  <si>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</si>
  <si>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</si>
  <si>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</si>
  <si>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</si>
  <si>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</si>
  <si>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</si>
  <si>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</si>
  <si>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</si>
  <si>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</si>
  <si>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</si>
  <si>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</si>
  <si>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</si>
  <si>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</si>
  <si>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</si>
  <si>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</si>
  <si>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</si>
  <si>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</si>
  <si>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</si>
  <si>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</si>
  <si>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</si>
  <si>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</si>
  <si>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</si>
  <si>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</si>
  <si>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</si>
  <si>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</si>
  <si>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</si>
  <si>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</si>
  <si>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</si>
  <si>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</si>
  <si>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</si>
  <si>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</si>
  <si>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</si>
  <si>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</si>
  <si>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</si>
  <si>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</si>
  <si>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</si>
  <si>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</si>
  <si>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</si>
  <si>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</si>
  <si>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</si>
  <si>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</si>
  <si>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</si>
  <si>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</si>
  <si>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</si>
  <si>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</si>
  <si>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</si>
  <si>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</si>
  <si>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</si>
  <si>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</si>
  <si>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</si>
  <si>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</si>
  <si>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</si>
  <si>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</si>
  <si>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</si>
  <si>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</si>
  <si>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</si>
  <si>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</si>
  <si>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</si>
  <si>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</si>
  <si>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</si>
  <si>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</si>
  <si>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</si>
  <si>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</si>
  <si>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</si>
  <si>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</si>
  <si>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</si>
  <si>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</si>
  <si>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</si>
  <si>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</si>
  <si>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</si>
  <si>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</si>
  <si>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</si>
  <si>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</si>
  <si>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</si>
  <si>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</si>
  <si>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</si>
  <si>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</si>
  <si>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</si>
  <si>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</si>
  <si>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</si>
  <si>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</si>
  <si>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</si>
  <si>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</si>
  <si>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</si>
  <si>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</si>
  <si>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</si>
  <si>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</si>
  <si>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</si>
  <si>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</si>
  <si>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</si>
  <si>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</si>
  <si>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</si>
  <si>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</si>
  <si>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</si>
  <si>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</si>
  <si>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</si>
  <si>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</si>
  <si>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</si>
  <si>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</si>
  <si>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</si>
  <si>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</si>
  <si>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</si>
  <si>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</si>
  <si>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</si>
  <si>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</si>
  <si>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</si>
  <si>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</si>
  <si>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</si>
  <si>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</si>
  <si>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</si>
  <si>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</si>
  <si>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</si>
  <si>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</si>
  <si>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</si>
  <si>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</si>
  <si>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</si>
  <si>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</si>
  <si>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</si>
  <si>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</si>
  <si>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</si>
  <si>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</si>
  <si>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</si>
  <si>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</si>
  <si>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</si>
  <si>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</si>
  <si>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</si>
  <si>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</si>
  <si>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</si>
  <si>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</si>
  <si>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</si>
  <si>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</si>
  <si>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</si>
  <si>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</si>
  <si>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</si>
  <si>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</si>
  <si>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</si>
  <si>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</si>
  <si>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</si>
  <si>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</si>
  <si>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</si>
  <si>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</si>
  <si>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</si>
  <si>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</si>
  <si>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</si>
  <si>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</si>
  <si>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</si>
  <si>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</si>
  <si>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</si>
  <si>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</si>
  <si>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</si>
  <si>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</si>
  <si>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</si>
  <si>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</si>
  <si>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</si>
  <si>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</si>
  <si>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</si>
  <si>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</si>
  <si>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</si>
  <si>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</si>
  <si>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</si>
  <si>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</si>
  <si>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</si>
  <si>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</si>
  <si>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</si>
  <si>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</si>
  <si>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</si>
  <si>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</si>
  <si>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</si>
  <si>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</si>
  <si>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</si>
  <si>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</si>
  <si>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</si>
  <si>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</si>
  <si>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</si>
  <si>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</si>
  <si>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</si>
  <si>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</si>
  <si>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</si>
  <si>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</si>
  <si>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</si>
  <si>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</si>
  <si>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</si>
  <si>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</si>
  <si>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</si>
  <si>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</si>
  <si>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</si>
  <si>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</si>
  <si>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</si>
  <si>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</si>
  <si>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</si>
  <si>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</si>
  <si>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</si>
  <si>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</si>
  <si>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</si>
  <si>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</si>
  <si>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</si>
  <si>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</si>
  <si>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</si>
  <si>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</si>
  <si>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</si>
  <si>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</si>
  <si>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</si>
  <si>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</si>
  <si>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</si>
  <si>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</si>
  <si>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</si>
  <si>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</si>
  <si>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</si>
  <si>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</si>
  <si>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</si>
  <si>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</si>
  <si>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</si>
  <si>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</si>
  <si>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</si>
  <si>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</si>
  <si>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</si>
  <si>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</si>
  <si>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</si>
  <si>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</si>
  <si>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</si>
  <si>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</si>
  <si>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</si>
  <si>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</si>
  <si>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</si>
  <si>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</si>
  <si>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</si>
  <si>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</si>
  <si>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</si>
  <si>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</si>
  <si>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</si>
  <si>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</si>
  <si>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</si>
  <si>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</si>
  <si>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</si>
  <si>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</si>
  <si>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</si>
  <si>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</si>
  <si>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</si>
  <si>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</si>
  <si>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</si>
  <si>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</si>
  <si>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</si>
  <si>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</si>
  <si>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</si>
  <si>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</si>
  <si>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</si>
  <si>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</si>
  <si>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</si>
  <si>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</si>
  <si>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</si>
  <si>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</si>
  <si>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</si>
  <si>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</si>
  <si>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</si>
  <si>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</si>
  <si>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</si>
  <si>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</si>
  <si>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</si>
  <si>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</si>
  <si>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</si>
  <si>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</si>
  <si>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</si>
  <si>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</si>
  <si>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</si>
  <si>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</si>
  <si>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</si>
  <si>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</si>
  <si>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</si>
  <si>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</si>
  <si>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</si>
  <si>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</si>
  <si>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</si>
  <si>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</si>
  <si>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</si>
  <si>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</si>
  <si>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</si>
  <si>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</si>
  <si>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</si>
  <si>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</si>
  <si>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</si>
  <si>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</si>
  <si>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</si>
  <si>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</si>
  <si>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</si>
  <si>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</si>
  <si>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</si>
  <si>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</si>
  <si>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</si>
  <si>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</si>
  <si>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</si>
  <si>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</si>
  <si>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</si>
  <si>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</si>
  <si>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</si>
  <si>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</si>
  <si>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</si>
  <si>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</si>
  <si>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</si>
  <si>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</si>
  <si>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</si>
  <si>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</si>
  <si>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</si>
  <si>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</si>
  <si>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</si>
  <si>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</si>
  <si>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</si>
  <si>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</si>
  <si>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</si>
  <si>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</si>
  <si>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</si>
  <si>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</si>
  <si>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</si>
  <si>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</si>
  <si>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</si>
  <si>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</si>
  <si>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</si>
  <si>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</si>
  <si>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</si>
  <si>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</si>
  <si>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</si>
  <si>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</si>
  <si>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</si>
  <si>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</si>
  <si>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</si>
  <si>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</si>
  <si>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</si>
  <si>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</si>
  <si>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</si>
  <si>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</si>
  <si>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</si>
  <si>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</si>
  <si>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</si>
  <si>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</si>
  <si>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</si>
  <si>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</si>
  <si>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</si>
  <si>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</si>
  <si>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</si>
  <si>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</si>
  <si>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</si>
  <si>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</si>
  <si>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</si>
  <si>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</si>
  <si>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</si>
  <si>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</si>
  <si>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</si>
  <si>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</si>
  <si>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</si>
  <si>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</si>
  <si>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</si>
  <si>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</si>
  <si>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</si>
  <si>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</si>
  <si>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</si>
  <si>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</si>
  <si>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</si>
  <si>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</si>
  <si>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</si>
  <si>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</si>
  <si>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</si>
  <si>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</si>
  <si>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</si>
  <si>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</si>
  <si>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</si>
  <si>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</si>
  <si>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</si>
  <si>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</si>
  <si>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</si>
  <si>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</si>
  <si>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</si>
  <si>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</si>
  <si>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</si>
  <si>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</si>
  <si>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</si>
  <si>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</si>
  <si>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</si>
  <si>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</si>
  <si>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</si>
  <si>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</si>
  <si>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</si>
  <si>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</si>
  <si>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</si>
  <si>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</si>
  <si>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</si>
  <si>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</si>
  <si>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</si>
  <si>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</si>
  <si>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</si>
  <si>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</si>
  <si>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</si>
  <si>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</si>
  <si>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</si>
  <si>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</si>
  <si>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</si>
  <si>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</si>
  <si>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</si>
  <si>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</si>
  <si>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</si>
  <si>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</si>
  <si>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</si>
  <si>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</si>
  <si>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</si>
  <si>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</si>
  <si>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</si>
  <si>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</si>
  <si>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</si>
  <si>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</si>
  <si>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</si>
  <si>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</si>
  <si>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</si>
  <si>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</si>
  <si>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</si>
  <si>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</si>
  <si>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</si>
  <si>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</si>
  <si>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</si>
  <si>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</si>
  <si>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</si>
  <si>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</si>
  <si>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</si>
  <si>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</si>
  <si>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</si>
  <si>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</si>
  <si>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</si>
  <si>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</si>
  <si>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</si>
  <si>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</si>
  <si>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</si>
  <si>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</si>
  <si>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</si>
  <si>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</si>
  <si>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</si>
  <si>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</si>
  <si>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</si>
  <si>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</si>
  <si>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</si>
  <si>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</si>
  <si>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</si>
  <si>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</si>
  <si>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</si>
  <si>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</si>
  <si>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</si>
  <si>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</si>
  <si>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</si>
  <si>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</si>
  <si>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</si>
  <si>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</si>
  <si>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</si>
  <si>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</si>
  <si>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</si>
  <si>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</si>
  <si>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</si>
  <si>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</si>
  <si>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</si>
  <si>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</si>
  <si>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</si>
  <si>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</si>
  <si>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</si>
  <si>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</si>
  <si>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</si>
  <si>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</si>
  <si>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</si>
  <si>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</si>
  <si>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</si>
  <si>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</si>
  <si>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</si>
  <si>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</si>
  <si>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</si>
  <si>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</si>
  <si>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</si>
  <si>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</si>
  <si>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</si>
  <si>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</si>
  <si>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</si>
  <si>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</si>
  <si>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</si>
  <si>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</si>
  <si>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</si>
  <si>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</si>
  <si>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</si>
  <si>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</si>
  <si>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</si>
  <si>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</si>
  <si>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</si>
  <si>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</si>
  <si>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</si>
  <si>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</si>
  <si>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</si>
  <si>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</si>
  <si>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</si>
  <si>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</si>
  <si>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</si>
  <si>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</si>
  <si>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</si>
  <si>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</si>
  <si>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</si>
  <si>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</si>
  <si>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</si>
  <si>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</si>
  <si>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</si>
  <si>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</si>
  <si>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</si>
  <si>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</si>
  <si>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</si>
  <si>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</si>
  <si>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</si>
  <si>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</si>
  <si>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</si>
  <si>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</si>
  <si>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</si>
  <si>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</si>
  <si>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</si>
  <si>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</si>
  <si>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</si>
  <si>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</si>
  <si>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</si>
  <si>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</si>
  <si>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</si>
  <si>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</si>
  <si>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</si>
  <si>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</si>
  <si>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</si>
  <si>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</si>
  <si>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</si>
  <si>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</si>
  <si>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</si>
  <si>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</si>
  <si>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</si>
  <si>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</si>
  <si>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</si>
  <si>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</si>
  <si>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</si>
  <si>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</si>
  <si>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</si>
  <si>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</si>
  <si>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</si>
  <si>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</si>
  <si>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</si>
  <si>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</si>
  <si>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</si>
  <si>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</si>
  <si>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</si>
  <si>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</si>
  <si>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</si>
  <si>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</si>
  <si>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</si>
  <si>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</si>
  <si>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</si>
  <si>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</si>
  <si>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</si>
  <si>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</si>
  <si>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</si>
  <si>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</si>
  <si>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</si>
  <si>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</si>
  <si>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</si>
  <si>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</si>
  <si>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</si>
  <si>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</si>
  <si>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</si>
  <si>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</si>
  <si>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</si>
  <si>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</si>
  <si>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</si>
  <si>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</si>
  <si>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</si>
  <si>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</si>
  <si>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</si>
  <si>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</si>
  <si>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</si>
  <si>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</si>
  <si>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</si>
  <si>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</si>
  <si>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</si>
  <si>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</si>
  <si>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</si>
  <si>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</si>
  <si>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</si>
  <si>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</si>
  <si>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</si>
  <si>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</si>
  <si>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</si>
  <si>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</si>
  <si>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</si>
  <si>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</si>
  <si>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</si>
  <si>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</si>
  <si>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</si>
  <si>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</si>
  <si>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</si>
  <si>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</si>
  <si>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</si>
  <si>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</si>
  <si>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</si>
  <si>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</si>
  <si>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</si>
  <si>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</si>
  <si>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</si>
  <si>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</si>
  <si>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</si>
  <si>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</si>
  <si>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</si>
  <si>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</si>
  <si>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</si>
  <si>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</si>
  <si>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</si>
  <si>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</si>
  <si>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</si>
  <si>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</si>
  <si>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</si>
  <si>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</si>
  <si>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</si>
  <si>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</si>
  <si>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</si>
  <si>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</si>
  <si>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</si>
  <si>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</si>
  <si>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</si>
  <si>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</si>
  <si>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</si>
  <si>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</si>
  <si>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</si>
  <si>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</si>
  <si>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</si>
  <si>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</si>
  <si>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</si>
  <si>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</si>
  <si>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</si>
  <si>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</si>
  <si>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</si>
  <si>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</si>
  <si>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</si>
  <si>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</si>
  <si>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</si>
  <si>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</si>
  <si>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</si>
  <si>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</si>
  <si>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</si>
  <si>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</si>
  <si>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</si>
  <si>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</si>
  <si>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</si>
  <si>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</si>
  <si>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</si>
  <si>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</si>
  <si>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</si>
  <si>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</si>
  <si>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</si>
  <si>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</si>
  <si>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</si>
  <si>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</si>
  <si>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</si>
  <si>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</si>
  <si>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</si>
  <si>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</si>
  <si>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</si>
  <si>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</si>
  <si>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</si>
  <si>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</si>
  <si>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</si>
  <si>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</si>
  <si>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</si>
  <si>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</si>
  <si>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</si>
  <si>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</si>
  <si>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</si>
  <si>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</si>
  <si>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</si>
  <si>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</si>
  <si>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</si>
  <si>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</si>
  <si>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</si>
  <si>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</si>
  <si>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</si>
  <si>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</si>
  <si>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</si>
  <si>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</si>
  <si>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</si>
  <si>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</si>
  <si>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</si>
  <si>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</si>
  <si>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</si>
  <si>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</si>
  <si>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</si>
  <si>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</si>
  <si>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</si>
  <si>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</si>
  <si>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</si>
  <si>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</si>
  <si>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</si>
  <si>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</si>
  <si>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</si>
  <si>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</si>
  <si>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</si>
  <si>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</si>
  <si>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</si>
  <si>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</si>
  <si>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</si>
  <si>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</si>
  <si>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</si>
  <si>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</si>
  <si>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</si>
  <si>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</si>
  <si>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</si>
  <si>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</si>
  <si>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</si>
  <si>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</si>
  <si>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</si>
  <si>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</si>
  <si>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</si>
  <si>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</si>
  <si>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</si>
  <si>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</si>
  <si>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</si>
  <si>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</si>
  <si>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</si>
  <si>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</si>
  <si>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</si>
  <si>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</si>
  <si>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</si>
  <si>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</si>
  <si>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</si>
  <si>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</si>
  <si>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</si>
  <si>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</si>
  <si>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</si>
  <si>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</si>
  <si>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</si>
  <si>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</si>
  <si>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</si>
  <si>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</si>
  <si>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</si>
  <si>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</si>
  <si>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</si>
  <si>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</si>
  <si>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</si>
  <si>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</si>
  <si>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</si>
  <si>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</si>
  <si>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</si>
  <si>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</si>
  <si>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</si>
  <si>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</si>
  <si>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</si>
  <si>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</si>
  <si>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</si>
  <si>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</si>
  <si>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</si>
  <si>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</si>
  <si>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</si>
  <si>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</si>
  <si>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</si>
  <si>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</si>
  <si>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</si>
  <si>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</si>
  <si>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</si>
  <si>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</si>
  <si>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</si>
  <si>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</si>
  <si>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</si>
  <si>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</si>
  <si>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</si>
  <si>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</si>
  <si>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</si>
  <si>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</si>
  <si>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</si>
  <si>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</si>
  <si>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</si>
  <si>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</si>
  <si>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</si>
  <si>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</si>
  <si>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</si>
  <si>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</si>
  <si>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</si>
  <si>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</si>
  <si>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</si>
  <si>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</si>
  <si>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</si>
  <si>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</si>
  <si>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</si>
  <si>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</si>
  <si>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</si>
  <si>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</si>
  <si>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</si>
  <si>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</si>
  <si>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</si>
  <si>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</si>
  <si>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</si>
  <si>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</si>
  <si>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</si>
  <si>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</si>
  <si>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</si>
  <si>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</si>
  <si>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</si>
  <si>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</si>
  <si>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</si>
  <si>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</si>
  <si>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</si>
  <si>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</si>
  <si>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</si>
  <si>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</si>
  <si>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</si>
  <si>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</si>
  <si>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</si>
  <si>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</si>
  <si>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</si>
  <si>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</si>
  <si>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</si>
  <si>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</si>
  <si>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</si>
  <si>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</si>
  <si>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</si>
  <si>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</si>
  <si>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</si>
  <si>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</si>
  <si>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</si>
  <si>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</si>
  <si>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</si>
  <si>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</si>
  <si>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</si>
  <si>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</si>
  <si>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</si>
  <si>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</si>
  <si>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</si>
  <si>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</si>
  <si>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</si>
  <si>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</si>
  <si>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</si>
  <si>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</si>
  <si>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</si>
  <si>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</si>
  <si>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</si>
  <si>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</si>
  <si>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</si>
  <si>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</si>
  <si>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</si>
  <si>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</si>
  <si>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</si>
  <si>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</si>
  <si>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</si>
  <si>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</si>
  <si>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</si>
  <si>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</si>
  <si>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</si>
  <si>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</si>
  <si>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</si>
  <si>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</si>
  <si>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</si>
  <si>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</si>
  <si>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</si>
  <si>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</si>
  <si>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</si>
  <si>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</si>
  <si>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</si>
  <si>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</si>
  <si>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</si>
  <si>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</si>
  <si>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</si>
  <si>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</si>
  <si>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</si>
  <si>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</si>
  <si>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</si>
  <si>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</si>
  <si>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</si>
  <si>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</si>
  <si>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</si>
  <si>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</si>
  <si>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</si>
  <si>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</si>
  <si>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</si>
  <si>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</si>
  <si>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</si>
  <si>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</si>
  <si>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</si>
  <si>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</si>
  <si>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</si>
  <si>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</si>
  <si>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</si>
  <si>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</si>
  <si>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</si>
  <si>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</si>
  <si>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</si>
  <si>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</si>
  <si>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</si>
  <si>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</si>
  <si>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</si>
  <si>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</si>
  <si>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</si>
  <si>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</si>
  <si>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</si>
  <si>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</si>
  <si>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</si>
  <si>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</si>
  <si>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</si>
  <si>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</si>
  <si>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</si>
  <si>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</si>
  <si>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</si>
  <si>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</si>
  <si>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</si>
  <si>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</si>
  <si>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</si>
  <si>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</si>
  <si>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</si>
  <si>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</si>
  <si>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</si>
  <si>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</si>
  <si>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</si>
  <si>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</si>
  <si>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</si>
  <si>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</si>
  <si>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</si>
  <si>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</si>
  <si>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</si>
  <si>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</si>
  <si>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</si>
  <si>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</si>
  <si>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</si>
  <si>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</si>
  <si>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</si>
  <si>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</si>
  <si>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</si>
  <si>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</si>
  <si>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</si>
  <si>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</si>
  <si>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</si>
  <si>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</si>
  <si>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</si>
  <si>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</si>
  <si>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</si>
  <si>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</si>
  <si>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</si>
  <si>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</si>
  <si>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</si>
  <si>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</si>
  <si>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</si>
  <si>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</si>
  <si>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</si>
  <si>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</si>
  <si>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</si>
  <si>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</si>
  <si>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</si>
  <si>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</si>
  <si>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</si>
  <si>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</si>
  <si>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</si>
  <si>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</si>
  <si>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</si>
  <si>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</si>
  <si>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</si>
  <si>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</si>
  <si>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</si>
  <si>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</si>
  <si>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</si>
  <si>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</si>
  <si>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</si>
  <si>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</si>
  <si>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</si>
  <si>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</si>
  <si>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</si>
  <si>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</si>
  <si>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</si>
  <si>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</si>
  <si>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</si>
  <si>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</si>
  <si>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</si>
  <si>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</si>
  <si>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</si>
  <si>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</si>
  <si>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</si>
  <si>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</si>
  <si>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</si>
  <si>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</si>
  <si>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</si>
  <si>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</si>
  <si>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</si>
  <si>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</si>
  <si>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</si>
  <si>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</si>
  <si>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</si>
  <si>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</si>
  <si>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</si>
  <si>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</si>
  <si>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</si>
  <si>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</si>
  <si>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</si>
  <si>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</si>
  <si>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</si>
  <si>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</si>
  <si>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</si>
  <si>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</si>
  <si>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</si>
  <si>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</si>
  <si>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</si>
  <si>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</si>
  <si>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</si>
  <si>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</si>
  <si>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</si>
  <si>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</si>
  <si>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</si>
  <si>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</si>
  <si>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</si>
  <si>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</si>
  <si>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</si>
  <si>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</si>
  <si>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</si>
  <si>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</si>
  <si>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</si>
  <si>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</si>
  <si>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</si>
  <si>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</si>
  <si>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</si>
  <si>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</si>
  <si>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</si>
  <si>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</si>
  <si>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</si>
  <si>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</si>
  <si>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</si>
  <si>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</si>
  <si>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</si>
  <si>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</si>
  <si>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</si>
  <si>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</si>
  <si>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</si>
  <si>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</si>
  <si>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</si>
  <si>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</si>
  <si>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</si>
  <si>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</si>
  <si>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</si>
  <si>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</si>
  <si>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</si>
  <si>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</si>
  <si>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</si>
  <si>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</si>
  <si>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</si>
  <si>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</si>
  <si>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</si>
  <si>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</si>
  <si>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</si>
  <si>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</si>
  <si>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</si>
  <si>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</si>
  <si>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</si>
  <si>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</si>
  <si>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</si>
  <si>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</si>
  <si>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</si>
  <si>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</si>
  <si>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</si>
  <si>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</si>
  <si>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</si>
  <si>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</si>
  <si>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</si>
  <si>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</si>
  <si>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</si>
  <si>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</si>
  <si>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</si>
  <si>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</si>
  <si>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</si>
  <si>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</si>
  <si>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</si>
  <si>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</si>
  <si>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</si>
  <si>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</si>
  <si>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</si>
  <si>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</si>
  <si>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</si>
  <si>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</si>
  <si>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</si>
  <si>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</si>
  <si>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</si>
  <si>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</si>
  <si>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</si>
  <si>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</si>
  <si>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</si>
  <si>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</si>
  <si>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</si>
  <si>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</si>
  <si>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</si>
  <si>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</si>
  <si>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</si>
  <si>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</si>
  <si>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</si>
  <si>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</si>
  <si>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</si>
  <si>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</si>
  <si>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</si>
  <si>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</si>
  <si>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</si>
  <si>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</si>
  <si>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</si>
  <si>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</si>
  <si>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</si>
  <si>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</si>
  <si>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</si>
  <si>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</si>
  <si>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</si>
  <si>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</si>
  <si>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</si>
  <si>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</si>
  <si>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</si>
  <si>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</si>
  <si>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</si>
  <si>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</si>
  <si>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</si>
  <si>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</si>
  <si>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</si>
  <si>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</si>
  <si>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</si>
  <si>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</si>
  <si>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</si>
  <si>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</si>
  <si>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</si>
  <si>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</si>
  <si>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</si>
  <si>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</si>
  <si>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</si>
  <si>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</si>
  <si>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</si>
  <si>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</si>
  <si>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</si>
  <si>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</si>
  <si>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</si>
  <si>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</si>
  <si>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</si>
  <si>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</si>
  <si>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</si>
  <si>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</si>
  <si>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</si>
  <si>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</si>
  <si>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</si>
  <si>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</si>
  <si>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</si>
  <si>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</si>
  <si>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</si>
  <si>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</si>
  <si>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</si>
  <si>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</si>
  <si>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</si>
  <si>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</si>
  <si>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</si>
  <si>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</si>
  <si>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</si>
  <si>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</si>
  <si>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</si>
  <si>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</si>
  <si>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</si>
  <si>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</si>
  <si>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</si>
  <si>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</si>
  <si>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</si>
  <si>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</si>
  <si>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</si>
  <si>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</si>
  <si>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</si>
  <si>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</si>
  <si>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</si>
  <si>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</si>
  <si>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</si>
  <si>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</si>
  <si>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</si>
  <si>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</si>
  <si>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</si>
  <si>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</si>
  <si>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</si>
  <si>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</si>
  <si>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</si>
  <si>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</si>
  <si>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</si>
  <si>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</si>
  <si>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</si>
  <si>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</si>
  <si>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</si>
  <si>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</si>
  <si>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</si>
  <si>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</si>
  <si>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</si>
  <si>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</si>
  <si>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</si>
  <si>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</si>
  <si>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</si>
  <si>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</si>
  <si>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</si>
  <si>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</si>
  <si>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</si>
  <si>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</si>
  <si>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</si>
  <si>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</si>
  <si>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</si>
  <si>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</si>
  <si>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</si>
  <si>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</si>
  <si>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</si>
  <si>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</si>
  <si>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</si>
  <si>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</si>
  <si>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</si>
  <si>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</si>
  <si>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</si>
  <si>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</si>
  <si>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</si>
  <si>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</si>
  <si>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</si>
  <si>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</si>
  <si>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</si>
  <si>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</si>
  <si>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</si>
  <si>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</si>
  <si>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</si>
  <si>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</si>
  <si>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</si>
  <si>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</si>
  <si>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</si>
  <si>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</si>
  <si>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</si>
  <si>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</si>
  <si>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</si>
  <si>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</si>
  <si>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</si>
  <si>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</si>
  <si>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</si>
  <si>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</si>
  <si>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</si>
  <si>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</si>
  <si>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</si>
  <si>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</si>
  <si>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</si>
  <si>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</si>
  <si>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</si>
  <si>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</si>
  <si>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</si>
  <si>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</si>
  <si>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</si>
  <si>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</si>
  <si>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</si>
  <si>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</si>
  <si>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</si>
  <si>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</si>
  <si>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</si>
  <si>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</si>
  <si>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</si>
  <si>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</si>
  <si>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</si>
  <si>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</si>
  <si>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</si>
  <si>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</si>
  <si>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</si>
  <si>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</si>
  <si>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</si>
  <si>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</si>
  <si>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</si>
  <si>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</si>
  <si>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</si>
  <si>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</si>
  <si>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</si>
  <si>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</si>
  <si>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</si>
  <si>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</si>
  <si>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</si>
  <si>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</si>
  <si>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</si>
  <si>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</si>
  <si>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</si>
  <si>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</si>
  <si>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</si>
  <si>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</si>
  <si>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</si>
  <si>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</si>
  <si>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</si>
  <si>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</si>
  <si>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</si>
  <si>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</si>
  <si>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</si>
  <si>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</si>
  <si>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</si>
  <si>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</si>
  <si>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</si>
  <si>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</si>
  <si>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</si>
  <si>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</si>
  <si>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</si>
  <si>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</si>
  <si>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</si>
  <si>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</si>
  <si>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</si>
  <si>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</si>
  <si>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</si>
  <si>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</si>
  <si>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</si>
  <si>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</si>
  <si>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</si>
  <si>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</si>
  <si>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</si>
  <si>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</si>
  <si>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</si>
  <si>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</si>
  <si>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</si>
  <si>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</si>
  <si>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</si>
  <si>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</si>
  <si>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</si>
  <si>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</si>
  <si>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</si>
  <si>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</si>
  <si>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</si>
  <si>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</si>
  <si>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</si>
  <si>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</si>
  <si>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</si>
  <si>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</si>
  <si>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</si>
  <si>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</si>
  <si>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</si>
  <si>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</si>
  <si>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</si>
  <si>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</si>
  <si>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</si>
  <si>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</si>
  <si>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</si>
  <si>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</si>
  <si>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</si>
  <si>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</si>
  <si>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</si>
  <si>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</si>
  <si>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</si>
  <si>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</si>
  <si>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</si>
  <si>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</si>
  <si>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</si>
  <si>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</si>
  <si>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</si>
  <si>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</si>
  <si>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</si>
  <si>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</si>
  <si>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</si>
  <si>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</si>
  <si>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</si>
  <si>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</si>
  <si>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</si>
  <si>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</si>
  <si>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</si>
  <si>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</si>
  <si>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</si>
  <si>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</si>
  <si>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</si>
  <si>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</si>
  <si>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</si>
  <si>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</si>
  <si>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</si>
  <si>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</si>
  <si>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</si>
  <si>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</si>
  <si>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</si>
  <si>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</si>
  <si>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</si>
  <si>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</si>
  <si>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</si>
  <si>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</si>
  <si>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</si>
  <si>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</si>
  <si>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</si>
  <si>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</si>
  <si>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</si>
  <si>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</si>
  <si>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</si>
  <si>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</si>
  <si>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</si>
  <si>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</si>
  <si>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</si>
  <si>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</si>
  <si>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</si>
  <si>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</si>
  <si>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</si>
  <si>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</si>
  <si>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</si>
  <si>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</si>
  <si>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</si>
  <si>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</si>
  <si>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</si>
  <si>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</si>
  <si>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</si>
  <si>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</si>
  <si>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</si>
  <si>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</si>
  <si>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</si>
  <si>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</si>
  <si>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</si>
  <si>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</si>
  <si>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</si>
  <si>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</si>
  <si>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</si>
  <si>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</si>
  <si>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</si>
  <si>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</si>
  <si>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</si>
  <si>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</si>
  <si>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</si>
  <si>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</si>
  <si>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</si>
  <si>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</si>
  <si>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</si>
  <si>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</si>
  <si>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</si>
  <si>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</si>
  <si>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</si>
  <si>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</si>
  <si>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</si>
  <si>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</si>
  <si>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</si>
  <si>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</si>
  <si>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</si>
  <si>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</si>
  <si>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</si>
  <si>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</si>
  <si>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</si>
  <si>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</si>
  <si>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</si>
  <si>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</si>
  <si>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</si>
  <si>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</si>
  <si>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</si>
  <si>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</si>
  <si>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</si>
  <si>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</si>
  <si>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</si>
  <si>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</si>
  <si>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</si>
  <si>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</si>
  <si>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</si>
  <si>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</si>
  <si>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</si>
  <si>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</si>
  <si>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</si>
  <si>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</si>
  <si>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</si>
  <si>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</si>
  <si>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</si>
  <si>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</si>
  <si>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</si>
  <si>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</si>
  <si>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</si>
  <si>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</si>
  <si>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</si>
  <si>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</si>
  <si>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</si>
  <si>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</si>
  <si>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</si>
  <si>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</si>
  <si>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</si>
  <si>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</si>
  <si>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</si>
  <si>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</si>
  <si>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</si>
  <si>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</si>
  <si>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</si>
  <si>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</si>
  <si>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</si>
  <si>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</si>
  <si>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</si>
  <si>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</si>
  <si>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</si>
  <si>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</si>
  <si>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</si>
  <si>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</si>
  <si>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</si>
  <si>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</si>
  <si>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</si>
  <si>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</si>
  <si>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</si>
  <si>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</si>
  <si>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</si>
  <si>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</si>
  <si>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</si>
  <si>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</si>
  <si>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</si>
  <si>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</si>
  <si>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</si>
  <si>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</si>
  <si>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</si>
  <si>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</si>
  <si>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</si>
  <si>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</si>
  <si>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</si>
  <si>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</si>
  <si>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</si>
  <si>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</si>
  <si>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</si>
  <si>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</si>
  <si>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</si>
  <si>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</si>
  <si>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</si>
  <si>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</si>
  <si>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</si>
  <si>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</si>
  <si>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</si>
  <si>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</si>
  <si>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</si>
  <si>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</si>
  <si>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</si>
  <si>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</si>
  <si>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</si>
  <si>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</si>
  <si>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</si>
  <si>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</si>
  <si>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</si>
  <si>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</si>
  <si>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</si>
  <si>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</si>
  <si>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</si>
  <si>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</si>
  <si>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</si>
  <si>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</si>
  <si>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</si>
  <si>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</si>
  <si>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</si>
  <si>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</si>
  <si>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</si>
  <si>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</si>
  <si>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</si>
  <si>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</si>
  <si>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</si>
  <si>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</si>
  <si>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</si>
  <si>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</si>
  <si>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</si>
  <si>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</si>
  <si>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</si>
  <si>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</si>
  <si>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</si>
  <si>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</si>
  <si>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</si>
  <si>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</si>
  <si>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</si>
  <si>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</si>
  <si>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</si>
  <si>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</si>
  <si>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</si>
  <si>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</si>
  <si>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</si>
  <si>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</si>
  <si>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</si>
  <si>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</si>
  <si>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</si>
  <si>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</si>
  <si>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</si>
  <si>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</si>
  <si>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</si>
  <si>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</si>
  <si>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</si>
  <si>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</si>
  <si>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</si>
  <si>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</si>
  <si>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</si>
  <si>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</si>
  <si>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</si>
  <si>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</si>
  <si>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</si>
  <si>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</si>
  <si>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</si>
  <si>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</si>
  <si>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</si>
  <si>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</si>
  <si>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</si>
  <si>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</si>
  <si>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</si>
  <si>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</si>
  <si>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</si>
  <si>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</si>
  <si>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</si>
  <si>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</si>
  <si>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</si>
  <si>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</si>
  <si>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</si>
  <si>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</si>
  <si>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</si>
  <si>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</si>
  <si>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</si>
  <si>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</si>
  <si>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</si>
  <si>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</si>
  <si>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</si>
  <si>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</si>
  <si>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</si>
  <si>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</si>
  <si>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</si>
  <si>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</si>
  <si>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</si>
  <si>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</si>
  <si>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</si>
  <si>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</si>
  <si>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</si>
  <si>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</si>
  <si>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</si>
  <si>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</si>
  <si>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</si>
  <si>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</si>
  <si>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</si>
  <si>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</si>
  <si>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</si>
  <si>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</si>
  <si>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</si>
  <si>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</si>
  <si>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</si>
  <si>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</si>
  <si>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</si>
  <si>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</si>
  <si>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</si>
  <si>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</si>
  <si>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</si>
  <si>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</si>
  <si>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</si>
  <si>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</si>
  <si>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</si>
  <si>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</si>
  <si>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</si>
  <si>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</si>
  <si>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</si>
  <si>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</si>
  <si>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</si>
  <si>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</si>
  <si>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</si>
  <si>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</si>
  <si>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</si>
  <si>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</si>
  <si>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</si>
  <si>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</si>
  <si>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</si>
  <si>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</si>
  <si>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</si>
  <si>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</si>
  <si>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</si>
  <si>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</si>
  <si>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</si>
  <si>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</si>
  <si>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</si>
  <si>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</si>
  <si>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</si>
  <si>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</si>
  <si>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</si>
  <si>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</si>
  <si>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</si>
  <si>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</si>
  <si>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</si>
  <si>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</si>
  <si>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</si>
  <si>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</si>
  <si>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</si>
  <si>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</si>
  <si>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</si>
  <si>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</si>
  <si>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</si>
  <si>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</si>
  <si>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</si>
  <si>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</si>
  <si>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</si>
  <si>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</si>
  <si>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</si>
  <si>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</si>
  <si>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</si>
  <si>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</si>
  <si>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</si>
  <si>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</si>
  <si>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</si>
  <si>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</si>
  <si>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</si>
  <si>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</si>
  <si>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</si>
  <si>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</si>
  <si>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</si>
  <si>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</si>
  <si>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</si>
  <si>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</si>
  <si>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</si>
  <si>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</si>
  <si>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</si>
  <si>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</si>
  <si>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</si>
  <si>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</si>
  <si>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</si>
  <si>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</si>
  <si>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</si>
  <si>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</si>
  <si>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</si>
  <si>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</si>
  <si>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</si>
  <si>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</si>
  <si>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</si>
  <si>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</si>
  <si>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</si>
  <si>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</si>
  <si>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</si>
  <si>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</si>
  <si>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</si>
  <si>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</si>
  <si>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</si>
  <si>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</si>
  <si>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</si>
  <si>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</si>
  <si>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</si>
  <si>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</si>
  <si>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</si>
  <si>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</si>
  <si>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</si>
  <si>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</si>
  <si>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</si>
  <si>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</si>
  <si>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</si>
  <si>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</si>
  <si>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</si>
  <si>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</si>
  <si>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</si>
  <si>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</si>
  <si>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</si>
  <si>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</si>
  <si>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</si>
  <si>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</si>
  <si>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</si>
  <si>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</si>
  <si>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</si>
  <si>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</si>
  <si>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</si>
  <si>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</si>
  <si>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</si>
  <si>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</si>
  <si>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</si>
  <si>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</si>
  <si>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</si>
  <si>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</si>
  <si>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</si>
  <si>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</si>
  <si>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</si>
  <si>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</si>
  <si>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</si>
  <si>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</si>
  <si>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</si>
  <si>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</si>
  <si>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</si>
  <si>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</si>
  <si>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</si>
  <si>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</si>
  <si>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</si>
  <si>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</si>
  <si>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</si>
  <si>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</si>
  <si>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</si>
  <si>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</si>
  <si>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</si>
  <si>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</si>
  <si>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</si>
  <si>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</si>
  <si>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</si>
  <si>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</si>
  <si>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</si>
  <si>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</si>
  <si>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</si>
  <si>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</si>
  <si>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</si>
  <si>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</si>
  <si>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</si>
  <si>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</si>
  <si>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</si>
  <si>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</si>
  <si>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</si>
  <si>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</si>
  <si>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</si>
  <si>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</si>
  <si>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</si>
  <si>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</si>
  <si>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</si>
  <si>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</si>
  <si>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</si>
  <si>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</si>
  <si>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</si>
  <si>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</si>
  <si>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</si>
  <si>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</si>
  <si>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</si>
  <si>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</si>
  <si>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</si>
  <si>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</si>
  <si>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</si>
  <si>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</si>
  <si>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</si>
  <si>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</si>
  <si>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</si>
  <si>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</si>
  <si>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</si>
  <si>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</si>
  <si>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</si>
  <si>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</si>
  <si>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</si>
  <si>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</si>
  <si>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</si>
  <si>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</si>
  <si>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</si>
  <si>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</si>
  <si>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</si>
  <si>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</si>
  <si>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</si>
  <si>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</si>
  <si>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</si>
  <si>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</si>
  <si>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</si>
  <si>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</si>
  <si>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</si>
  <si>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</si>
  <si>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</si>
  <si>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</si>
  <si>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</si>
  <si>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</si>
  <si>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</si>
  <si>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</si>
  <si>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</si>
  <si>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</si>
  <si>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</si>
  <si>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</si>
  <si>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</si>
  <si>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</si>
  <si>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</si>
  <si>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</si>
  <si>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</si>
  <si>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</si>
  <si>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</si>
  <si>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</si>
  <si>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</si>
  <si>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</si>
  <si>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</si>
  <si>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</si>
  <si>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</si>
  <si>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</si>
  <si>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</si>
  <si>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</si>
  <si>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</si>
  <si>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</si>
  <si>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</si>
  <si>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</si>
  <si>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</si>
  <si>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</si>
  <si>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</si>
  <si>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</si>
  <si>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</si>
  <si>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</si>
  <si>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</si>
  <si>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</si>
  <si>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</si>
  <si>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</si>
  <si>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</si>
  <si>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</si>
  <si>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</si>
  <si>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</si>
  <si>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</si>
  <si>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</si>
  <si>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</si>
  <si>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</si>
  <si>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</si>
  <si>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</si>
  <si>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</si>
  <si>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</si>
  <si>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</si>
  <si>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</si>
  <si>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</si>
  <si>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</si>
  <si>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</si>
  <si>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</si>
  <si>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</si>
  <si>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</si>
  <si>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</si>
  <si>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</si>
  <si>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</si>
  <si>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</si>
  <si>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</si>
  <si>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</si>
  <si>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</si>
  <si>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</si>
  <si>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</si>
  <si>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</si>
  <si>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</si>
  <si>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</si>
  <si>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</si>
  <si>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</si>
  <si>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</si>
  <si>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</si>
  <si>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</si>
  <si>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</si>
  <si>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</si>
  <si>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</si>
  <si>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</si>
  <si>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</si>
  <si>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</si>
  <si>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</si>
  <si>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</si>
  <si>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</si>
  <si>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</si>
  <si>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</si>
  <si>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</si>
  <si>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</si>
  <si>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</si>
  <si>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</si>
  <si>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</si>
  <si>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</si>
  <si>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</si>
  <si>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</si>
  <si>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</si>
  <si>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</si>
  <si>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</si>
  <si>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</si>
  <si>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</si>
  <si>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</si>
  <si>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</si>
  <si>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</si>
  <si>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</si>
  <si>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</si>
  <si>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</si>
  <si>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</si>
  <si>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</si>
  <si>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</si>
  <si>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</si>
  <si>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</si>
  <si>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</si>
  <si>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</si>
  <si>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</si>
  <si>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</si>
  <si>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</si>
  <si>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</si>
  <si>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</si>
  <si>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</si>
  <si>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</si>
  <si>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</si>
  <si>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</si>
  <si>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</si>
  <si>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</si>
  <si>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</si>
  <si>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</si>
  <si>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</si>
  <si>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</si>
  <si>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</si>
  <si>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</si>
  <si>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</si>
  <si>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</si>
  <si>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</si>
  <si>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</si>
  <si>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</si>
  <si>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</si>
  <si>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</si>
  <si>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</si>
  <si>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</si>
  <si>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</si>
  <si>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</si>
  <si>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</si>
  <si>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</si>
  <si>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</si>
  <si>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</si>
  <si>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</si>
  <si>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</si>
  <si>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</si>
  <si>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</si>
  <si>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</si>
  <si>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</si>
  <si>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</si>
  <si>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</si>
  <si>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</si>
  <si>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</si>
  <si>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</si>
  <si>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</si>
  <si>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</si>
  <si>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</si>
  <si>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</si>
  <si>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</si>
  <si>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</si>
  <si>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</si>
  <si>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</si>
  <si>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</si>
  <si>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</si>
  <si>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</si>
  <si>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</si>
  <si>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</si>
  <si>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</si>
  <si>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</si>
  <si>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</si>
  <si>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</si>
  <si>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</si>
  <si>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</si>
  <si>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</si>
  <si>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</si>
  <si>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</si>
  <si>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</si>
  <si>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</si>
  <si>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</si>
  <si>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</si>
  <si>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</si>
  <si>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</si>
  <si>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</si>
  <si>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</si>
  <si>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</si>
  <si>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</si>
  <si>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</si>
  <si>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</si>
  <si>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</si>
  <si>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</si>
  <si>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</si>
  <si>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</si>
  <si>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</si>
  <si>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</si>
  <si>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</si>
  <si>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</si>
  <si>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</si>
  <si>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</si>
  <si>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</si>
  <si>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</si>
  <si>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</si>
  <si>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</si>
  <si>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</si>
  <si>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</si>
  <si>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</si>
  <si>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</si>
  <si>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</si>
  <si>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</si>
  <si>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</si>
  <si>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</si>
  <si>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</si>
  <si>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</si>
  <si>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</si>
  <si>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</si>
  <si>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</si>
  <si>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</si>
  <si>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</si>
  <si>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</si>
  <si>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</si>
  <si>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</si>
  <si>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</si>
  <si>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</si>
  <si>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</si>
  <si>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</si>
  <si>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</si>
  <si>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</si>
  <si>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</si>
  <si>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</si>
  <si>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</si>
  <si>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</si>
  <si>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</si>
  <si>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</si>
  <si>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</si>
  <si>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</si>
  <si>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</si>
  <si>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</si>
  <si>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</si>
  <si>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</si>
  <si>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</si>
  <si>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</si>
  <si>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</si>
  <si>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</si>
  <si>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</si>
  <si>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</si>
  <si>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</si>
  <si>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</si>
  <si>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</si>
  <si>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</si>
  <si>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</si>
  <si>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</si>
  <si>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</si>
  <si>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</si>
  <si>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</si>
  <si>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</si>
  <si>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</si>
  <si>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</si>
  <si>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</si>
  <si>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</si>
  <si>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</si>
  <si>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</si>
  <si>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</si>
  <si>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</si>
  <si>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</si>
  <si>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</si>
  <si>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</si>
  <si>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</si>
  <si>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</si>
  <si>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</si>
  <si>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</si>
  <si>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</si>
  <si>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</si>
  <si>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</si>
  <si>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</si>
  <si>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</si>
  <si>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</si>
  <si>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</si>
  <si>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</si>
  <si>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</si>
  <si>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</si>
  <si>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</si>
  <si>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</si>
  <si>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</si>
  <si>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</si>
  <si>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</si>
  <si>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</si>
  <si>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</si>
  <si>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</si>
  <si>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</si>
  <si>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</si>
  <si>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</si>
  <si>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</si>
  <si>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</si>
  <si>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</si>
  <si>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</si>
  <si>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</si>
  <si>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</si>
  <si>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</si>
  <si>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</si>
  <si>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</si>
  <si>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</si>
  <si>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</si>
  <si>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</si>
  <si>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</si>
  <si>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</si>
  <si>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</si>
  <si>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</si>
  <si>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</si>
  <si>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</si>
  <si>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</si>
  <si>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</si>
  <si>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</si>
  <si>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</si>
  <si>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</si>
  <si>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</si>
  <si>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</si>
  <si>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</si>
  <si>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</si>
  <si>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</si>
  <si>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</si>
  <si>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</si>
  <si>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</si>
  <si>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</si>
  <si>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</si>
  <si>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</si>
  <si>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</si>
  <si>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</si>
  <si>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</si>
  <si>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</si>
  <si>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</si>
  <si>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</si>
  <si>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</si>
  <si>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</si>
  <si>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</si>
  <si>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</si>
  <si>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</si>
  <si>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</si>
  <si>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</si>
  <si>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</si>
  <si>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</si>
  <si>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</si>
  <si>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</si>
  <si>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</si>
  <si>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</si>
  <si>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</si>
  <si>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</si>
  <si>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</si>
  <si>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</si>
  <si>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</si>
  <si>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</si>
  <si>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</si>
  <si>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</si>
  <si>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</si>
  <si>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</si>
  <si>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</si>
  <si>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</si>
  <si>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</si>
  <si>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</si>
  <si>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</si>
  <si>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</si>
  <si>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</si>
  <si>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</si>
  <si>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</si>
  <si>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</si>
  <si>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</si>
  <si>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</si>
  <si>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</si>
  <si>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</si>
  <si>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</si>
  <si>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</si>
  <si>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</si>
  <si>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</si>
  <si>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</si>
  <si>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</si>
  <si>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</si>
  <si>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</si>
  <si>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</si>
  <si>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</si>
  <si>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</si>
  <si>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</si>
  <si>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</si>
  <si>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</si>
  <si>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</si>
  <si>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</si>
  <si>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</si>
  <si>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</si>
  <si>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</si>
  <si>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</si>
  <si>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</si>
  <si>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</si>
  <si>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</si>
  <si>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</si>
  <si>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</si>
  <si>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</si>
  <si>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</si>
  <si>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</si>
  <si>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</si>
  <si>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</si>
  <si>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</si>
  <si>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</si>
  <si>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</si>
  <si>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</si>
  <si>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</si>
  <si>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</si>
  <si>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</si>
  <si>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</si>
  <si>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</si>
  <si>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</si>
  <si>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</si>
  <si>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</si>
  <si>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</si>
  <si>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</si>
  <si>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</si>
  <si>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</si>
  <si>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</si>
  <si>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</si>
  <si>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</si>
  <si>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</si>
  <si>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</si>
  <si>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</si>
  <si>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</si>
  <si>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</si>
  <si>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</si>
  <si>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</si>
  <si>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</si>
  <si>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</si>
  <si>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</si>
  <si>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</si>
  <si>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</si>
  <si>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</si>
  <si>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</si>
  <si>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</si>
  <si>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</si>
  <si>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</si>
  <si>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</si>
  <si>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</si>
  <si>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</si>
  <si>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</si>
  <si>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</si>
  <si>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</si>
  <si>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</si>
  <si>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</si>
  <si>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</si>
  <si>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</si>
  <si>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</si>
  <si>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</si>
  <si>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</si>
  <si>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</si>
  <si>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</si>
  <si>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</si>
  <si>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</si>
  <si>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</si>
  <si>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</si>
  <si>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</si>
  <si>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</si>
  <si>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</si>
  <si>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</si>
  <si>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</si>
  <si>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</si>
  <si>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</si>
  <si>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</si>
  <si>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</si>
  <si>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</si>
  <si>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</si>
  <si>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</si>
  <si>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</si>
  <si>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</si>
  <si>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</si>
  <si>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</si>
  <si>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</si>
  <si>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</si>
  <si>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</si>
  <si>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</si>
  <si>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</si>
  <si>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</si>
  <si>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</si>
  <si>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</si>
  <si>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</si>
  <si>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</si>
  <si>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</si>
  <si>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</si>
  <si>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</si>
  <si>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</si>
  <si>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</si>
  <si>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</si>
  <si>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</si>
  <si>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</si>
  <si>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</si>
  <si>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</si>
  <si>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</si>
  <si>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</si>
  <si>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</si>
  <si>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</si>
  <si>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</si>
  <si>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</si>
  <si>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</si>
  <si>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</si>
  <si>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</si>
  <si>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</si>
  <si>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</si>
  <si>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</si>
  <si>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</si>
  <si>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</si>
  <si>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</si>
  <si>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</si>
  <si>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</si>
  <si>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</si>
  <si>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</si>
  <si>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</si>
  <si>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</si>
  <si>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</si>
  <si>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</si>
  <si>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</si>
  <si>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</si>
  <si>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</si>
  <si>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</si>
  <si>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</si>
  <si>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</si>
  <si>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</si>
  <si>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</si>
  <si>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</si>
  <si>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</si>
  <si>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</si>
  <si>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</si>
  <si>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</si>
  <si>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</si>
  <si>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</si>
  <si>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</si>
  <si>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</si>
  <si>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</si>
  <si>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</si>
  <si>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</si>
  <si>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</si>
  <si>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</si>
  <si>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</si>
  <si>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</si>
  <si>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</si>
  <si>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</si>
  <si>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</si>
  <si>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</si>
  <si>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</si>
  <si>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</si>
  <si>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</si>
  <si>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</si>
  <si>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</si>
  <si>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</si>
  <si>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</si>
  <si>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</si>
  <si>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</si>
  <si>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</si>
  <si>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</si>
  <si>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</si>
  <si>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</si>
  <si>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</si>
  <si>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</si>
  <si>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</si>
  <si>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</si>
  <si>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</si>
  <si>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</si>
  <si>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</si>
  <si>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</si>
  <si>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</si>
  <si>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</si>
  <si>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</si>
  <si>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</si>
  <si>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</si>
  <si>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</si>
  <si>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</si>
  <si>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</si>
  <si>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</si>
  <si>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</si>
  <si>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</si>
  <si>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</si>
  <si>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</si>
  <si>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</si>
  <si>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</si>
  <si>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</si>
  <si>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</si>
  <si>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</si>
  <si>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</si>
  <si>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</si>
  <si>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</si>
  <si>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</si>
  <si>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</si>
  <si>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</si>
  <si>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</si>
  <si>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</si>
  <si>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</si>
  <si>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</si>
  <si>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</si>
  <si>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</si>
  <si>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</si>
  <si>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</si>
  <si>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</si>
  <si>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</si>
  <si>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</si>
  <si>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</si>
  <si>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</si>
  <si>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</si>
  <si>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</si>
  <si>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</si>
  <si>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</si>
  <si>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</si>
  <si>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</si>
  <si>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</si>
  <si>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</si>
  <si>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</si>
  <si>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</si>
  <si>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</si>
  <si>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</si>
  <si>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</si>
  <si>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</si>
  <si>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</si>
  <si>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</si>
  <si>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</si>
  <si>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</si>
  <si>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</si>
  <si>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</si>
  <si>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</si>
  <si>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</si>
  <si>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</si>
  <si>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</si>
  <si>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</si>
  <si>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</si>
  <si>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</si>
  <si>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</si>
  <si>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</si>
  <si>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</si>
  <si>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</si>
  <si>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</si>
  <si>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</si>
  <si>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</si>
  <si>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</si>
  <si>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</si>
  <si>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</si>
  <si>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</si>
  <si>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</si>
  <si>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</si>
  <si>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</si>
  <si>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</si>
  <si>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</si>
  <si>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</si>
  <si>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</si>
  <si>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</si>
  <si>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</si>
  <si>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</si>
  <si>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</si>
  <si>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</si>
  <si>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</si>
  <si>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</si>
  <si>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</si>
  <si>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</si>
  <si>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</si>
  <si>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</si>
  <si>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</si>
  <si>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</si>
  <si>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</si>
  <si>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</si>
  <si>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</si>
  <si>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</si>
  <si>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</si>
  <si>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</si>
  <si>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</si>
  <si>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</si>
  <si>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</si>
  <si>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</si>
  <si>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</si>
  <si>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</si>
  <si>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</si>
  <si>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</si>
  <si>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</si>
  <si>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</si>
  <si>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</si>
  <si>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</si>
  <si>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</si>
  <si>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</si>
  <si>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</si>
  <si>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</si>
  <si>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</si>
  <si>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</si>
  <si>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</si>
  <si>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</si>
  <si>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</si>
  <si>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</si>
  <si>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</si>
  <si>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</si>
  <si>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</si>
  <si>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</si>
  <si>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</si>
  <si>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</si>
  <si>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</si>
  <si>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</si>
  <si>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</si>
  <si>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</si>
  <si>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</si>
  <si>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</si>
  <si>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</si>
  <si>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</si>
  <si>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</si>
  <si>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</si>
  <si>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</si>
  <si>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</si>
  <si>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</si>
  <si>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</si>
  <si>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</si>
  <si>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</si>
  <si>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</si>
  <si>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</si>
  <si>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</si>
  <si>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</si>
  <si>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</si>
  <si>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</si>
  <si>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</si>
  <si>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</si>
  <si>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</si>
  <si>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</si>
  <si>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</si>
  <si>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</si>
  <si>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</si>
  <si>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</si>
  <si>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</si>
  <si>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</si>
  <si>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</si>
  <si>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</si>
  <si>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</si>
  <si>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</si>
  <si>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</si>
  <si>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</si>
  <si>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</si>
  <si>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</si>
  <si>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</si>
  <si>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</si>
  <si>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</si>
  <si>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</si>
  <si>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</si>
  <si>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</si>
  <si>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</si>
  <si>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</si>
  <si>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</si>
  <si>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</si>
  <si>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</si>
  <si>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</si>
  <si>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</si>
  <si>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</si>
  <si>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</si>
  <si>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</si>
  <si>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</si>
  <si>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</si>
  <si>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</si>
  <si>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</si>
  <si>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</si>
  <si>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</si>
  <si>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</si>
  <si>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</si>
  <si>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</si>
  <si>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</si>
  <si>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</si>
  <si>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</si>
  <si>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</si>
  <si>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</si>
  <si>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</si>
  <si>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</si>
  <si>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</si>
  <si>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</si>
  <si>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</si>
  <si>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</si>
  <si>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</si>
  <si>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</si>
  <si>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</si>
  <si>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</si>
  <si>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</si>
  <si>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</si>
  <si>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</si>
  <si>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</si>
  <si>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</si>
  <si>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</si>
  <si>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</si>
  <si>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</si>
  <si>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</si>
  <si>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</si>
  <si>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</si>
  <si>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</si>
  <si>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</si>
  <si>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</si>
  <si>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</si>
  <si>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</si>
  <si>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</si>
  <si>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</si>
  <si>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</si>
  <si>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</si>
  <si>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</si>
  <si>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</si>
  <si>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</si>
  <si>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</si>
  <si>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</si>
  <si>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</si>
  <si>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</si>
  <si>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</si>
  <si>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</si>
  <si>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</si>
  <si>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</si>
  <si>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</si>
  <si>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</si>
  <si>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</si>
  <si>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</si>
  <si>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</si>
  <si>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</si>
  <si>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</si>
  <si>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</si>
  <si>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</si>
  <si>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</si>
  <si>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</si>
  <si>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</si>
  <si>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</si>
  <si>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</si>
  <si>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</si>
  <si>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</si>
  <si>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</si>
  <si>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</si>
  <si>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</si>
  <si>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</si>
  <si>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</si>
  <si>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</si>
  <si>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</si>
  <si>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</si>
  <si>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</si>
  <si>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</si>
  <si>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</si>
  <si>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</si>
  <si>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</si>
  <si>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</si>
  <si>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</si>
  <si>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</si>
  <si>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</si>
  <si>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</si>
  <si>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</si>
  <si>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</si>
  <si>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</si>
  <si>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</si>
  <si>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</si>
  <si>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</si>
  <si>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</si>
  <si>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</si>
  <si>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</si>
  <si>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</si>
  <si>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</si>
  <si>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</si>
  <si>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</si>
  <si>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</si>
  <si>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</si>
  <si>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</si>
  <si>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</si>
  <si>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</si>
  <si>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</si>
  <si>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</si>
  <si>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</si>
  <si>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</si>
  <si>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</si>
  <si>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</si>
  <si>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</si>
  <si>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</si>
  <si>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</si>
  <si>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</si>
  <si>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</si>
  <si>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</si>
  <si>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</si>
  <si>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</si>
  <si>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</si>
  <si>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</si>
  <si>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</si>
  <si>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</si>
  <si>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</si>
  <si>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</si>
  <si>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</si>
  <si>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</si>
  <si>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</si>
  <si>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</si>
  <si>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</si>
  <si>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</si>
  <si>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</si>
  <si>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</si>
  <si>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</si>
  <si>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</si>
  <si>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</si>
  <si>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</si>
  <si>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</si>
  <si>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</si>
  <si>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</si>
  <si>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</si>
  <si>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</si>
  <si>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</si>
  <si>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</si>
  <si>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</si>
  <si>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</si>
  <si>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</si>
  <si>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</si>
  <si>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</si>
  <si>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</si>
  <si>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</si>
  <si>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</si>
  <si>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</si>
  <si>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</si>
  <si>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</si>
  <si>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</si>
  <si>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</si>
  <si>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</si>
  <si>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</si>
  <si>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</si>
  <si>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</si>
  <si>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</si>
  <si>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</si>
  <si>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</si>
  <si>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</si>
  <si>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</si>
  <si>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</si>
  <si>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</si>
  <si>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</si>
  <si>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</si>
  <si>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</si>
  <si>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</si>
  <si>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</si>
  <si>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</si>
  <si>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</si>
  <si>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</si>
  <si>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</si>
  <si>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</si>
  <si>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</si>
  <si>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</si>
  <si>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</si>
  <si>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</si>
  <si>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</si>
  <si>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</si>
  <si>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</si>
  <si>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</si>
  <si>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</si>
  <si>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</si>
  <si>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</si>
  <si>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</si>
  <si>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</si>
  <si>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</si>
  <si>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</si>
  <si>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</si>
  <si>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</si>
  <si>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</si>
  <si>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</si>
  <si>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</si>
  <si>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</si>
  <si>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</si>
  <si>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</si>
  <si>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</si>
  <si>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</si>
  <si>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</si>
  <si>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</si>
  <si>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</si>
  <si>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</si>
  <si>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</si>
  <si>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</si>
  <si>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</si>
  <si>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</si>
  <si>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</si>
  <si>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</si>
  <si>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</si>
  <si>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</si>
  <si>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</si>
  <si>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</si>
  <si>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</si>
  <si>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</si>
  <si>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</si>
  <si>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</si>
  <si>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</si>
  <si>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</si>
  <si>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</si>
  <si>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</si>
  <si>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</si>
  <si>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</si>
  <si>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</si>
  <si>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</si>
  <si>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</si>
  <si>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</si>
  <si>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</si>
  <si>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</si>
  <si>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</si>
  <si>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</si>
  <si>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</si>
  <si>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</si>
  <si>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</si>
  <si>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</si>
  <si>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</si>
  <si>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</si>
  <si>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</si>
  <si>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</si>
  <si>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</si>
  <si>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</si>
  <si>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</si>
  <si>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</si>
  <si>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</si>
  <si>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</si>
  <si>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</si>
  <si>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</si>
  <si>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</si>
  <si>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</si>
  <si>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</si>
  <si>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</si>
  <si>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</si>
  <si>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</si>
  <si>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</si>
  <si>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</si>
  <si>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</si>
  <si>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</si>
  <si>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</si>
  <si>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</si>
  <si>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</si>
  <si>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</si>
  <si>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</si>
  <si>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</si>
  <si>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</si>
  <si>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</si>
  <si>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</si>
  <si>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</si>
  <si>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</si>
  <si>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</si>
  <si>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</si>
  <si>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</si>
  <si>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</si>
  <si>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</si>
  <si>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</si>
  <si>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</si>
  <si>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</si>
  <si>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</si>
  <si>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</si>
  <si>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</si>
  <si>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</si>
  <si>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</si>
  <si>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</si>
  <si>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</si>
  <si>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</si>
  <si>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</si>
  <si>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</si>
  <si>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</si>
  <si>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</si>
  <si>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</si>
  <si>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</si>
  <si>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</si>
  <si>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</si>
  <si>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</si>
  <si>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</si>
  <si>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</si>
  <si>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</si>
  <si>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</si>
  <si>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</si>
  <si>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</si>
  <si>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</si>
  <si>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</si>
  <si>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</si>
  <si>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</si>
  <si>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</si>
  <si>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</si>
  <si>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</si>
  <si>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</si>
  <si>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</si>
  <si>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</si>
  <si>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</si>
  <si>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</si>
  <si>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</si>
  <si>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</si>
  <si>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</si>
  <si>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</si>
  <si>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</si>
  <si>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</si>
  <si>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</si>
  <si>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</si>
  <si>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</si>
  <si>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</si>
  <si>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</si>
  <si>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</si>
  <si>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</si>
  <si>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</si>
  <si>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</si>
  <si>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</si>
  <si>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</si>
  <si>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</si>
  <si>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</si>
  <si>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</si>
  <si>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</si>
  <si>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</si>
  <si>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</si>
  <si>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</si>
  <si>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</si>
  <si>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</si>
  <si>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</si>
  <si>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</si>
  <si>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</si>
  <si>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</si>
  <si>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</si>
  <si>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</si>
  <si>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</si>
  <si>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</si>
  <si>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</si>
  <si>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</si>
  <si>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</si>
  <si>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</si>
  <si>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</si>
  <si>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</si>
  <si>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</si>
  <si>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</si>
  <si>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</si>
  <si>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</si>
  <si>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</si>
  <si>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</si>
  <si>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</si>
  <si>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</si>
  <si>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</si>
  <si>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</si>
  <si>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</si>
  <si>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</si>
  <si>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</si>
  <si>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</si>
  <si>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</si>
  <si>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</si>
  <si>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</si>
  <si>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</si>
  <si>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</si>
  <si>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</si>
  <si>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</si>
  <si>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</si>
  <si>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</si>
  <si>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</si>
  <si>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</si>
  <si>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</si>
  <si>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</si>
  <si>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</si>
  <si>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</si>
  <si>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</si>
  <si>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</si>
  <si>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</si>
  <si>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</si>
  <si>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</si>
  <si>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</si>
  <si>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</si>
  <si>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</si>
  <si>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</si>
  <si>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</si>
  <si>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</si>
  <si>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</si>
  <si>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</si>
  <si>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</si>
  <si>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</si>
  <si>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</si>
  <si>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</si>
  <si>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</si>
  <si>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</si>
  <si>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</si>
  <si>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</si>
  <si>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</si>
  <si>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</si>
  <si>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</si>
  <si>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</si>
  <si>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</si>
  <si>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</si>
  <si>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</si>
  <si>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</si>
  <si>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</si>
  <si>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</si>
  <si>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</si>
  <si>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</si>
  <si>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</si>
  <si>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</si>
  <si>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</si>
  <si>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</si>
  <si>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</si>
  <si>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</si>
  <si>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</si>
  <si>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</si>
  <si>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</si>
  <si>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</si>
  <si>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</si>
  <si>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</si>
  <si>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</si>
  <si>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</si>
  <si>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</si>
  <si>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</si>
  <si>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</si>
  <si>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</si>
  <si>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</si>
  <si>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</si>
  <si>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</si>
  <si>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</si>
  <si>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</si>
  <si>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</si>
  <si>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</si>
  <si>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</si>
  <si>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</si>
  <si>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</si>
  <si>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</si>
  <si>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</si>
  <si>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</si>
  <si>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</si>
  <si>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</si>
  <si>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</si>
  <si>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</si>
  <si>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</si>
  <si>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</si>
  <si>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</si>
  <si>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</si>
  <si>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</si>
  <si>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</si>
  <si>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</si>
  <si>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</si>
  <si>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</si>
  <si>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</si>
  <si>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</si>
  <si>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</si>
  <si>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</si>
  <si>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</si>
  <si>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</si>
  <si>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</si>
  <si>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</si>
  <si>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</si>
  <si>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</si>
  <si>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</si>
  <si>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</si>
  <si>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</si>
  <si>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</si>
  <si>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</si>
  <si>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</si>
  <si>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</si>
  <si>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</si>
  <si>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</si>
  <si>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</si>
  <si>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</si>
  <si>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</si>
  <si>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</si>
  <si>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</si>
  <si>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</si>
  <si>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</si>
  <si>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</si>
  <si>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</si>
  <si>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</si>
  <si>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</si>
  <si>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</si>
  <si>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</si>
  <si>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</si>
  <si>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</si>
  <si>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</si>
  <si>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</si>
  <si>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</si>
  <si>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</si>
  <si>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</si>
  <si>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</si>
  <si>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</si>
  <si>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</si>
  <si>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</si>
  <si>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</si>
  <si>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</si>
  <si>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</si>
  <si>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</si>
  <si>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</si>
  <si>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</si>
  <si>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</si>
  <si>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</si>
  <si>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</si>
  <si>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</si>
  <si>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</si>
  <si>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</si>
  <si>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</si>
  <si>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</si>
  <si>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</si>
  <si>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</si>
  <si>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</si>
  <si>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</si>
  <si>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</si>
  <si>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</si>
  <si>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</si>
  <si>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</si>
  <si>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</si>
  <si>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</si>
  <si>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</si>
  <si>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</si>
  <si>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</si>
  <si>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</si>
  <si>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</si>
  <si>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</si>
  <si>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</si>
  <si>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</si>
  <si>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</si>
  <si>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</si>
  <si>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</si>
  <si>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</si>
  <si>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</si>
  <si>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</si>
  <si>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</si>
  <si>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</si>
  <si>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</si>
  <si>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</si>
  <si>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</si>
  <si>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</si>
  <si>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</si>
  <si>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</si>
  <si>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</si>
  <si>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</si>
  <si>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</si>
  <si>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</si>
  <si>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</si>
  <si>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</si>
  <si>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</si>
  <si>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</si>
  <si>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</si>
  <si>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</si>
  <si>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</si>
  <si>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</si>
  <si>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</si>
  <si>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</si>
  <si>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</si>
  <si>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</si>
  <si>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</si>
  <si>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</si>
  <si>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</si>
  <si>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</si>
  <si>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</si>
  <si>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</si>
  <si>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</si>
  <si>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</si>
  <si>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</si>
  <si>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</si>
  <si>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</si>
  <si>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</si>
  <si>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</si>
  <si>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</si>
  <si>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</si>
  <si>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</si>
  <si>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</si>
  <si>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</si>
  <si>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</si>
  <si>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</si>
  <si>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</si>
  <si>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</si>
  <si>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</si>
  <si>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</si>
  <si>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</si>
  <si>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</si>
  <si>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</si>
  <si>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</si>
  <si>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</si>
  <si>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</si>
  <si>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</si>
  <si>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</si>
  <si>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</si>
  <si>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</si>
  <si>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</si>
  <si>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</si>
  <si>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</si>
  <si>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</si>
  <si>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</si>
  <si>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</si>
  <si>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</si>
  <si>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</si>
  <si>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</si>
  <si>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</si>
  <si>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</si>
  <si>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</si>
  <si>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</si>
  <si>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</si>
  <si>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</si>
  <si>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</si>
  <si>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</si>
  <si>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</si>
  <si>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</si>
  <si>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</si>
  <si>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</si>
  <si>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</si>
  <si>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</si>
  <si>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</si>
  <si>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</si>
  <si>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</si>
  <si>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</si>
  <si>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</si>
  <si>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</si>
  <si>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</si>
  <si>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</si>
  <si>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</si>
  <si>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</si>
  <si>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</si>
  <si>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</si>
  <si>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</si>
  <si>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</si>
  <si>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</si>
  <si>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</si>
  <si>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</si>
  <si>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</si>
  <si>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</si>
  <si>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</si>
  <si>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</si>
  <si>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</si>
  <si>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</si>
  <si>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</si>
  <si>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</si>
  <si>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</si>
  <si>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</si>
  <si>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</si>
  <si>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</si>
  <si>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</si>
  <si>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</si>
  <si>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</si>
  <si>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</si>
  <si>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</si>
  <si>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</si>
  <si>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</si>
  <si>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</si>
  <si>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</si>
  <si>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</si>
  <si>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</si>
  <si>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</si>
  <si>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</si>
  <si>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</si>
  <si>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</si>
  <si>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</si>
  <si>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</si>
  <si>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</si>
  <si>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</si>
  <si>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</si>
  <si>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</si>
  <si>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</si>
  <si>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</si>
  <si>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</si>
  <si>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</si>
  <si>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</si>
  <si>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</si>
  <si>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</si>
  <si>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</si>
  <si>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</si>
  <si>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</si>
  <si>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</si>
  <si>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</si>
  <si>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</si>
  <si>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</si>
  <si>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</si>
  <si>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</si>
  <si>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</si>
  <si>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</si>
  <si>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</si>
  <si>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</si>
  <si>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</si>
  <si>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</si>
  <si>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</si>
  <si>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</si>
  <si>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</si>
  <si>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</si>
  <si>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</si>
  <si>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</si>
  <si>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</si>
  <si>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</si>
  <si>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</si>
  <si>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</si>
  <si>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</si>
  <si>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</si>
  <si>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</si>
  <si>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</si>
  <si>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</si>
  <si>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</si>
  <si>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</si>
  <si>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</si>
  <si>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</si>
  <si>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</si>
  <si>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</si>
  <si>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</si>
  <si>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</si>
  <si>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</si>
  <si>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</si>
  <si>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</si>
  <si>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</si>
  <si>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</si>
  <si>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</si>
  <si>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</si>
  <si>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</si>
  <si>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</si>
  <si>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</si>
  <si>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</si>
  <si>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</si>
  <si>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</si>
  <si>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</si>
  <si>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</si>
  <si>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</si>
  <si>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</si>
  <si>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</si>
  <si>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</si>
  <si>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</si>
  <si>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</si>
  <si>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</si>
  <si>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</si>
  <si>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</si>
  <si>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</si>
  <si>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</si>
  <si>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</si>
  <si>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</si>
  <si>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</si>
  <si>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</si>
  <si>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</si>
  <si>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</si>
  <si>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</si>
  <si>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</si>
  <si>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</si>
  <si>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</si>
  <si>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</si>
  <si>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</si>
  <si>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</si>
  <si>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</si>
  <si>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</si>
  <si>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</si>
  <si>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</si>
  <si>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</si>
  <si>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</si>
  <si>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</si>
  <si>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</si>
  <si>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</si>
  <si>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</si>
  <si>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</si>
  <si>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</si>
  <si>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</si>
  <si>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</si>
  <si>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</si>
  <si>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</si>
  <si>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</si>
  <si>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</si>
  <si>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</si>
  <si>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</si>
  <si>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</si>
  <si>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</si>
  <si>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</si>
  <si>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</si>
  <si>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</si>
  <si>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</si>
  <si>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</si>
  <si>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</si>
  <si>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</si>
  <si>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</si>
  <si>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</si>
  <si>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</si>
  <si>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</si>
  <si>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</si>
  <si>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</si>
  <si>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</si>
  <si>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</si>
  <si>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</si>
  <si>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</si>
  <si>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</si>
  <si>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</si>
  <si>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</si>
  <si>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</si>
  <si>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</si>
  <si>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</si>
  <si>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</si>
  <si>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</si>
  <si>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</si>
  <si>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</si>
  <si>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</si>
  <si>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</si>
  <si>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</si>
  <si>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</si>
  <si>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</si>
  <si>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</si>
  <si>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</si>
  <si>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</si>
  <si>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</si>
  <si>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</si>
  <si>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</si>
  <si>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</si>
  <si>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</si>
  <si>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</si>
  <si>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</si>
  <si>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</si>
  <si>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</si>
  <si>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</si>
  <si>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</si>
  <si>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</si>
  <si>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</si>
  <si>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</si>
  <si>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</si>
  <si>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</si>
  <si>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</si>
  <si>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</si>
  <si>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</si>
  <si>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</si>
  <si>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</si>
  <si>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</si>
  <si>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</si>
  <si>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</si>
  <si>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</si>
  <si>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</si>
  <si>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</si>
  <si>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</si>
  <si>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</si>
  <si>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</si>
  <si>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</si>
  <si>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</si>
  <si>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</si>
  <si>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</si>
  <si>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</si>
  <si>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</si>
  <si>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</si>
  <si>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</si>
  <si>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</si>
  <si>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</si>
  <si>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</si>
  <si>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</si>
  <si>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</si>
  <si>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</si>
  <si>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</si>
  <si>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</si>
  <si>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</si>
  <si>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</si>
  <si>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</si>
  <si>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</si>
  <si>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</si>
  <si>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</si>
  <si>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</si>
  <si>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</si>
  <si>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</si>
  <si>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</si>
  <si>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</si>
  <si>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</si>
  <si>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</si>
  <si>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</si>
  <si>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</si>
  <si>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</si>
  <si>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</si>
  <si>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</si>
  <si>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</si>
  <si>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</si>
  <si>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</si>
  <si>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</si>
  <si>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</si>
  <si>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</si>
  <si>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</si>
  <si>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</si>
  <si>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</si>
  <si>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</si>
  <si>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</si>
  <si>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</si>
  <si>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</si>
  <si>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</si>
  <si>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</si>
  <si>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</si>
  <si>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</si>
  <si>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</si>
  <si>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</si>
  <si>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</si>
  <si>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</si>
  <si>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</si>
  <si>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</si>
  <si>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</si>
  <si>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</si>
  <si>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</si>
  <si>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</si>
  <si>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</si>
  <si>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</si>
  <si>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</si>
  <si>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</si>
  <si>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</si>
  <si>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</si>
  <si>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</si>
  <si>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</si>
  <si>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</si>
  <si>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</si>
  <si>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</si>
  <si>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</si>
  <si>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</si>
  <si>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</si>
  <si>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</si>
  <si>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</si>
  <si>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</si>
  <si>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</si>
  <si>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</si>
  <si>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</si>
  <si>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</si>
  <si>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</si>
  <si>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</si>
  <si>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</si>
  <si>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</si>
  <si>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</si>
  <si>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</si>
  <si>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</si>
  <si>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</si>
  <si>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</si>
  <si>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</si>
  <si>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</si>
  <si>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</si>
  <si>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</si>
  <si>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</si>
  <si>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</si>
  <si>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</si>
  <si>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</si>
  <si>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</si>
  <si>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</si>
  <si>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</si>
  <si>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</si>
  <si>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</si>
  <si>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</si>
  <si>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</si>
  <si>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</si>
  <si>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</si>
  <si>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</si>
  <si>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</si>
  <si>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</si>
  <si>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</si>
  <si>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</si>
  <si>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</si>
  <si>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</si>
  <si>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</si>
  <si>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</si>
  <si>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</si>
  <si>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</si>
  <si>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</si>
  <si>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</si>
  <si>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</si>
  <si>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</si>
  <si>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</si>
  <si>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</si>
  <si>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</si>
  <si>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</si>
  <si>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</si>
  <si>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</si>
  <si>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</si>
  <si>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</si>
  <si>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</si>
  <si>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</si>
  <si>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</si>
  <si>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</si>
  <si>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</si>
  <si>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</si>
  <si>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</si>
  <si>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</si>
  <si>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</si>
  <si>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</si>
  <si>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</si>
  <si>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</si>
  <si>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</si>
  <si>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</si>
  <si>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</si>
  <si>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</si>
  <si>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</si>
  <si>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</si>
  <si>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</si>
  <si>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</si>
  <si>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</si>
  <si>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</si>
  <si>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</si>
  <si>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</si>
  <si>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</si>
  <si>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</si>
  <si>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</si>
  <si>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</si>
  <si>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</si>
  <si>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</si>
  <si>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</si>
  <si>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</si>
  <si>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</si>
  <si>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</si>
  <si>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</si>
  <si>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</si>
  <si>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</si>
  <si>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</si>
  <si>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</si>
  <si>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</si>
  <si>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</si>
  <si>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</si>
  <si>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</si>
  <si>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</si>
  <si>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</si>
  <si>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</si>
  <si>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</si>
  <si>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</si>
  <si>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</si>
  <si>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</si>
  <si>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</si>
  <si>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</si>
  <si>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</si>
  <si>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</si>
  <si>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</si>
  <si>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</si>
  <si>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</si>
  <si>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</si>
  <si>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</si>
  <si>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</si>
  <si>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</si>
  <si>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</si>
  <si>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</si>
  <si>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</si>
  <si>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</si>
  <si>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</si>
  <si>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</si>
  <si>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</si>
  <si>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</si>
  <si>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</si>
  <si>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</si>
  <si>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</si>
  <si>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</si>
  <si>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</si>
  <si>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</si>
  <si>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</si>
  <si>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</si>
  <si>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</si>
  <si>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</si>
  <si>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</si>
  <si>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</si>
  <si>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</si>
  <si>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</si>
  <si>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</si>
  <si>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</si>
  <si>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</si>
  <si>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</si>
  <si>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</si>
  <si>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</si>
  <si>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</si>
  <si>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</si>
  <si>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</si>
  <si>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</si>
  <si>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</si>
  <si>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</si>
  <si>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</si>
  <si>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</si>
  <si>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</si>
  <si>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</si>
  <si>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</si>
  <si>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</si>
  <si>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</si>
  <si>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</si>
  <si>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</si>
  <si>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</si>
  <si>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</si>
  <si>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</si>
  <si>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</si>
  <si>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</si>
  <si>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</si>
  <si>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</si>
  <si>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</si>
  <si>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</si>
  <si>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</si>
  <si>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</si>
  <si>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</si>
  <si>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</si>
  <si>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</si>
  <si>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</si>
  <si>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</si>
  <si>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</si>
  <si>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</si>
  <si>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</si>
  <si>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</si>
  <si>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</si>
  <si>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</si>
  <si>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</si>
  <si>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</si>
  <si>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</si>
  <si>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</si>
  <si>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</si>
  <si>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</si>
  <si>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</si>
  <si>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</si>
  <si>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</si>
  <si>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</si>
  <si>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</si>
  <si>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</si>
  <si>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</si>
  <si>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</si>
  <si>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</si>
  <si>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</si>
  <si>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</si>
  <si>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</si>
  <si>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</si>
  <si>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</si>
  <si>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</si>
  <si>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</si>
  <si>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</si>
  <si>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</si>
  <si>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</si>
  <si>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</si>
  <si>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</si>
  <si>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</si>
  <si>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</si>
  <si>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</si>
  <si>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</si>
  <si>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</si>
  <si>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</si>
  <si>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</si>
  <si>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</si>
  <si>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</si>
  <si>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</si>
  <si>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</si>
  <si>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</si>
  <si>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</si>
  <si>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</si>
  <si>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</si>
  <si>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</si>
  <si>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</si>
  <si>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</si>
  <si>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</si>
  <si>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</si>
  <si>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</si>
  <si>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</si>
  <si>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</si>
  <si>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</si>
  <si>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</si>
  <si>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</si>
  <si>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</si>
  <si>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</si>
  <si>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</si>
  <si>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</si>
  <si>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</si>
  <si>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</si>
  <si>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</si>
  <si>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</si>
  <si>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</si>
  <si>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</si>
  <si>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</si>
  <si>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</si>
  <si>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</si>
  <si>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</si>
  <si>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</si>
  <si>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</si>
  <si>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</si>
  <si>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</si>
  <si>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</si>
  <si>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</si>
  <si>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</si>
  <si>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</si>
  <si>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</si>
  <si>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</si>
  <si>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</si>
  <si>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</si>
  <si>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</si>
  <si>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</si>
  <si>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</si>
  <si>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</si>
  <si>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</si>
  <si>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</si>
  <si>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</si>
  <si>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</si>
  <si>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</si>
  <si>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</si>
  <si>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</si>
  <si>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</si>
  <si>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</si>
  <si>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</si>
  <si>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</si>
  <si>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</si>
  <si>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</si>
  <si>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</si>
  <si>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</si>
  <si>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</si>
  <si>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</si>
  <si>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</si>
  <si>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</si>
  <si>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</si>
  <si>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</si>
  <si>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</si>
  <si>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</si>
  <si>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</si>
  <si>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</si>
  <si>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</si>
  <si>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</si>
  <si>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</si>
  <si>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</si>
  <si>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</si>
  <si>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</si>
  <si>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</si>
  <si>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</si>
  <si>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</si>
  <si>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</si>
  <si>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</si>
  <si>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</si>
  <si>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</si>
  <si>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</si>
  <si>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</si>
  <si>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</si>
  <si>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</si>
  <si>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</si>
  <si>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</si>
  <si>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</si>
  <si>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</si>
  <si>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</si>
  <si>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</si>
  <si>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</si>
  <si>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</si>
  <si>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</si>
  <si>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</si>
  <si>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</si>
  <si>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</si>
  <si>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</si>
  <si>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</si>
  <si>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</si>
  <si>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</si>
  <si>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</si>
  <si>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</si>
  <si>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</si>
  <si>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</si>
  <si>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</si>
  <si>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</si>
  <si>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</si>
  <si>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</si>
  <si>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</si>
  <si>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</si>
  <si>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</si>
  <si>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</si>
  <si>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</si>
  <si>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</si>
  <si>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</si>
  <si>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</si>
  <si>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</si>
  <si>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</si>
  <si>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</si>
  <si>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</si>
  <si>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</si>
  <si>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</si>
  <si>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</si>
  <si>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</si>
  <si>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</si>
  <si>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</si>
  <si>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</si>
  <si>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</si>
  <si>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</si>
  <si>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</si>
  <si>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</si>
  <si>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</si>
  <si>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</si>
  <si>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</si>
  <si>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</si>
  <si>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</si>
  <si>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</si>
  <si>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</si>
  <si>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</si>
  <si>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</si>
  <si>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</si>
  <si>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</si>
  <si>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</si>
  <si>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</si>
  <si>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</si>
  <si>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</si>
  <si>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</si>
  <si>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</si>
  <si>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</si>
  <si>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</si>
  <si>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</si>
  <si>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</si>
  <si>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</si>
  <si>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</si>
  <si>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</si>
  <si>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</si>
  <si>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</si>
  <si>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</si>
  <si>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</si>
  <si>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</si>
  <si>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</si>
  <si>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</si>
  <si>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</si>
  <si>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</si>
  <si>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</si>
  <si>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</si>
  <si>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</si>
  <si>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</si>
  <si>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</si>
  <si>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</si>
  <si>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</si>
  <si>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</si>
  <si>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</si>
  <si>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</si>
  <si>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</si>
  <si>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</si>
  <si>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</si>
  <si>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</si>
  <si>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</si>
  <si>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</si>
  <si>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</si>
  <si>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</si>
  <si>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</si>
  <si>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</si>
  <si>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</si>
  <si>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</si>
  <si>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</si>
  <si>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</si>
  <si>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</si>
  <si>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</si>
  <si>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</si>
  <si>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</si>
  <si>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</si>
  <si>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</si>
  <si>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</si>
  <si>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</si>
  <si>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</si>
  <si>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</si>
  <si>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</si>
  <si>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</si>
  <si>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</si>
  <si>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</si>
  <si>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</si>
  <si>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</si>
  <si>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</si>
  <si>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</si>
  <si>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</si>
  <si>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</si>
  <si>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</si>
  <si>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</si>
  <si>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</si>
  <si>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</si>
  <si>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</si>
  <si>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</si>
  <si>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</si>
  <si>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</si>
  <si>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</si>
  <si>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</si>
  <si>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</si>
  <si>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</si>
  <si>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</si>
  <si>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</si>
  <si>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</si>
  <si>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</si>
  <si>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</si>
  <si>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</si>
  <si>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</si>
  <si>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</si>
  <si>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</si>
  <si>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</si>
  <si>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</si>
  <si>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</si>
  <si>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</si>
  <si>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</si>
  <si>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</si>
  <si>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</si>
  <si>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</si>
  <si>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</si>
  <si>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</si>
  <si>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</si>
  <si>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</si>
  <si>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</si>
  <si>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</si>
  <si>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</si>
  <si>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</si>
  <si>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</si>
  <si>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</si>
  <si>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</si>
  <si>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</si>
  <si>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</si>
  <si>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</si>
  <si>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</si>
  <si>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</si>
  <si>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</si>
  <si>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</si>
  <si>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</si>
  <si>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</si>
  <si>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</si>
  <si>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</si>
  <si>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</si>
  <si>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</si>
  <si>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</si>
  <si>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</si>
  <si>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</si>
  <si>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</si>
  <si>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</si>
  <si>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</si>
  <si>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</si>
  <si>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</si>
  <si>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</si>
  <si>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</si>
  <si>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</si>
  <si>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</si>
  <si>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</si>
  <si>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</si>
  <si>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</si>
  <si>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</si>
  <si>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</si>
  <si>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</si>
  <si>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</si>
  <si>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</si>
  <si>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</si>
  <si>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</si>
  <si>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</si>
  <si>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</si>
  <si>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</si>
  <si>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</si>
  <si>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</si>
  <si>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</si>
  <si>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</si>
  <si>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</si>
  <si>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</si>
  <si>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</si>
  <si>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</si>
  <si>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</si>
  <si>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</si>
  <si>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</si>
  <si>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</si>
  <si>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</si>
  <si>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</si>
  <si>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</si>
  <si>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</si>
  <si>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</si>
  <si>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</si>
  <si>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</si>
  <si>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</si>
  <si>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</si>
  <si>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</si>
  <si>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</si>
  <si>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</si>
  <si>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</si>
  <si>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</si>
  <si>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</si>
  <si>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</si>
  <si>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</si>
  <si>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</si>
  <si>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</si>
  <si>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</si>
  <si>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</si>
  <si>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</si>
  <si>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</si>
  <si>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</si>
  <si>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</si>
  <si>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</si>
  <si>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</si>
  <si>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</si>
  <si>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</si>
  <si>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</si>
  <si>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</si>
  <si>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</si>
  <si>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</si>
  <si>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</si>
  <si>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</si>
  <si>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</si>
  <si>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</si>
  <si>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</si>
  <si>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</si>
  <si>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</si>
  <si>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</si>
  <si>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</si>
  <si>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</si>
  <si>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</si>
  <si>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</si>
  <si>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</si>
  <si>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</si>
  <si>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</si>
  <si>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</si>
  <si>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</si>
  <si>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</si>
  <si>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</si>
  <si>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</si>
  <si>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</si>
  <si>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</si>
  <si>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</si>
  <si>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</si>
  <si>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</si>
  <si>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</si>
  <si>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</si>
  <si>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</si>
  <si>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</si>
  <si>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</si>
  <si>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</si>
  <si>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</si>
  <si>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</si>
  <si>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</si>
  <si>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</si>
  <si>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</si>
  <si>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</si>
  <si>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</si>
  <si>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</si>
  <si>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</si>
  <si>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</si>
  <si>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</si>
  <si>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</si>
  <si>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</si>
  <si>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</si>
  <si>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</si>
  <si>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</si>
  <si>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</si>
  <si>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</si>
  <si>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</si>
  <si>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</si>
  <si>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</si>
  <si>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</si>
  <si>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</si>
  <si>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</si>
  <si>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</si>
  <si>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</si>
  <si>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</si>
  <si>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</si>
  <si>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</si>
  <si>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</si>
  <si>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</si>
  <si>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</si>
  <si>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</si>
  <si>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</si>
  <si>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</si>
  <si>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</si>
  <si>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</si>
  <si>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</si>
  <si>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</si>
  <si>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</si>
  <si>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</si>
  <si>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</si>
  <si>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</si>
  <si>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</si>
  <si>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</si>
  <si>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</si>
  <si>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</si>
  <si>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</si>
  <si>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</si>
  <si>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</si>
  <si>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</si>
  <si>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</si>
  <si>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</si>
  <si>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</si>
  <si>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</si>
  <si>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</si>
  <si>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</si>
  <si>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</si>
  <si>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</si>
  <si>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</si>
  <si>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</si>
  <si>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</si>
  <si>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</si>
  <si>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</si>
  <si>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</si>
  <si>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</si>
  <si>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</si>
  <si>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</si>
  <si>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</si>
  <si>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</si>
  <si>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</si>
  <si>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</si>
  <si>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</si>
  <si>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</si>
  <si>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</si>
  <si>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</si>
  <si>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</si>
  <si>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</si>
  <si>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</si>
  <si>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</si>
  <si>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</si>
  <si>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</si>
  <si>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</si>
  <si>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</si>
  <si>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</si>
  <si>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</si>
  <si>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</si>
  <si>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</si>
  <si>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</si>
  <si>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</si>
  <si>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</si>
  <si>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</si>
  <si>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</si>
  <si>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</si>
  <si>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</si>
  <si>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</si>
  <si>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</si>
  <si>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</si>
  <si>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</si>
  <si>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</si>
  <si>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</si>
  <si>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</si>
  <si>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</si>
  <si>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</si>
  <si>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</si>
  <si>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</si>
  <si>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</si>
  <si>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</si>
  <si>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</si>
  <si>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</si>
  <si>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</si>
  <si>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</si>
  <si>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</si>
  <si>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</si>
  <si>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</si>
  <si>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</si>
  <si>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</si>
  <si>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</si>
  <si>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</si>
  <si>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</si>
  <si>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</si>
  <si>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</si>
  <si>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</si>
  <si>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</si>
  <si>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</si>
  <si>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</si>
  <si>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</si>
  <si>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</si>
  <si>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</si>
  <si>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</si>
  <si>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</si>
  <si>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</si>
  <si>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</si>
  <si>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</si>
  <si>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</si>
  <si>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</si>
  <si>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</si>
  <si>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</si>
  <si>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</si>
  <si>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</si>
  <si>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</si>
  <si>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</si>
  <si>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</si>
  <si>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</si>
  <si>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</si>
  <si>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</si>
  <si>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</si>
  <si>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</si>
  <si>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</si>
  <si>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</si>
  <si>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</si>
  <si>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</si>
  <si>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</si>
  <si>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</si>
  <si>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</si>
  <si>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</si>
  <si>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</si>
  <si>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</si>
  <si>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</si>
  <si>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</si>
  <si>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</si>
  <si>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</si>
  <si>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</si>
  <si>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</si>
  <si>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</si>
  <si>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</si>
  <si>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</si>
  <si>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</si>
  <si>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</si>
  <si>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</si>
  <si>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</si>
  <si>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</si>
  <si>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</si>
  <si>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</si>
  <si>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</si>
  <si>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</si>
  <si>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</si>
  <si>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</si>
  <si>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</si>
  <si>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</si>
  <si>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</si>
  <si>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</si>
  <si>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</si>
  <si>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</si>
  <si>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</si>
  <si>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</si>
  <si>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</si>
  <si>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</si>
  <si>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</si>
  <si>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</si>
  <si>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</si>
  <si>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</si>
  <si>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</si>
  <si>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</si>
  <si>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</si>
  <si>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</si>
  <si>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</si>
  <si>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</si>
  <si>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</si>
  <si>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</si>
  <si>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</si>
  <si>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</si>
  <si>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</si>
  <si>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</si>
  <si>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</si>
  <si>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</si>
  <si>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</si>
  <si>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</si>
  <si>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</si>
  <si>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</si>
  <si>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</si>
  <si>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</si>
  <si>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</si>
  <si>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</si>
  <si>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</si>
  <si>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</si>
  <si>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</si>
  <si>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</si>
  <si>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</si>
  <si>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</si>
  <si>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</si>
  <si>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</si>
  <si>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</si>
  <si>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</si>
  <si>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</si>
  <si>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</si>
  <si>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</si>
  <si>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</si>
  <si>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</si>
  <si>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</si>
  <si>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</si>
  <si>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</si>
  <si>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</si>
  <si>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</si>
  <si>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</si>
  <si>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</si>
  <si>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</si>
  <si>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</si>
  <si>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</si>
  <si>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</si>
  <si>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</si>
  <si>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</si>
  <si>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</si>
  <si>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</si>
  <si>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</si>
  <si>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</si>
  <si>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</si>
  <si>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</si>
  <si>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</si>
  <si>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</si>
  <si>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</si>
  <si>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</si>
  <si>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</si>
  <si>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</si>
  <si>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</si>
  <si>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</si>
  <si>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</si>
  <si>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</si>
  <si>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</si>
  <si>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</si>
  <si>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</si>
  <si>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</si>
  <si>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</si>
  <si>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</si>
  <si>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</si>
  <si>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</si>
  <si>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</si>
  <si>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</si>
  <si>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</si>
  <si>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</si>
  <si>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</si>
  <si>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</si>
  <si>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</si>
  <si>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</si>
  <si>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</si>
  <si>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</si>
  <si>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</si>
  <si>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</si>
  <si>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</si>
  <si>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</si>
  <si>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</si>
  <si>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</si>
  <si>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</si>
  <si>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</si>
  <si>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</si>
  <si>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</si>
  <si>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</si>
  <si>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</si>
  <si>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</si>
  <si>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</si>
  <si>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</si>
  <si>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</si>
  <si>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</si>
  <si>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</si>
  <si>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</si>
  <si>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</si>
  <si>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</si>
  <si>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</si>
  <si>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</si>
  <si>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</si>
  <si>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</si>
  <si>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</si>
  <si>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</si>
  <si>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</si>
  <si>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</si>
  <si>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</si>
  <si>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</si>
  <si>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</si>
  <si>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</si>
  <si>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</si>
  <si>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</si>
  <si>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</si>
  <si>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</si>
  <si>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</si>
  <si>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</si>
  <si>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</si>
  <si>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</si>
  <si>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</si>
  <si>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</si>
  <si>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</si>
  <si>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</si>
  <si>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</si>
  <si>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</si>
  <si>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</si>
  <si>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</si>
  <si>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</si>
  <si>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</si>
  <si>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</si>
  <si>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</si>
  <si>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</si>
  <si>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</si>
  <si>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</si>
  <si>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</si>
  <si>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</si>
  <si>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</si>
  <si>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</si>
  <si>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</si>
  <si>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</si>
  <si>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</si>
  <si>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</si>
  <si>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</si>
  <si>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</si>
  <si>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</si>
  <si>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</si>
  <si>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</si>
  <si>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</si>
  <si>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</si>
  <si>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</si>
  <si>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</si>
  <si>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</si>
  <si>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</si>
  <si>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</si>
  <si>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</si>
  <si>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</si>
  <si>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</si>
  <si>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</si>
  <si>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</si>
  <si>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</si>
  <si>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</si>
  <si>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</si>
  <si>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</si>
  <si>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</si>
  <si>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</si>
  <si>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</si>
  <si>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</si>
  <si>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</si>
  <si>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</si>
  <si>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</si>
  <si>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</si>
  <si>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</si>
  <si>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</si>
  <si>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</si>
  <si>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</si>
  <si>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</si>
  <si>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</si>
  <si>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</si>
  <si>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</si>
  <si>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</si>
  <si>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</si>
  <si>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</si>
  <si>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</si>
  <si>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</si>
  <si>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</si>
  <si>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</si>
  <si>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</si>
  <si>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</si>
  <si>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</si>
  <si>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</si>
  <si>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</si>
  <si>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</si>
  <si>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</si>
  <si>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</si>
  <si>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</si>
  <si>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</si>
  <si>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</si>
  <si>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</si>
  <si>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</si>
  <si>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</si>
  <si>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</si>
  <si>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</si>
  <si>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</si>
  <si>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</si>
  <si>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</si>
  <si>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</si>
  <si>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</si>
  <si>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</si>
  <si>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</si>
  <si>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</si>
  <si>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</si>
  <si>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</si>
  <si>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</si>
  <si>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</si>
  <si>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</si>
  <si>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</si>
  <si>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</si>
  <si>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</si>
  <si>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</si>
  <si>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</si>
  <si>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</si>
  <si>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</si>
  <si>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</si>
  <si>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</si>
  <si>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</si>
  <si>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</si>
  <si>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</si>
  <si>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</si>
  <si>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</si>
  <si>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</si>
  <si>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</si>
  <si>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</si>
  <si>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</si>
  <si>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</si>
  <si>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</si>
  <si>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</si>
  <si>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</si>
  <si>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</si>
  <si>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</si>
  <si>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</si>
  <si>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</si>
  <si>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</si>
  <si>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</si>
  <si>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</si>
  <si>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</si>
  <si>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</si>
  <si>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</si>
  <si>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</si>
  <si>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</si>
  <si>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</si>
  <si>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</si>
  <si>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</si>
  <si>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</si>
  <si>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</si>
  <si>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</si>
  <si>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</si>
  <si>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</si>
  <si>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</si>
  <si>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</si>
  <si>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</si>
  <si>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</si>
  <si>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</si>
  <si>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</si>
  <si>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</si>
  <si>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</si>
  <si>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</si>
  <si>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</si>
  <si>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</si>
  <si>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</si>
  <si>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</si>
  <si>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</si>
  <si>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</si>
  <si>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</si>
  <si>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</si>
  <si>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</si>
  <si>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</si>
  <si>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</si>
  <si>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</si>
  <si>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</si>
  <si>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</si>
  <si>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</si>
  <si>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</si>
  <si>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</si>
  <si>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</si>
  <si>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</si>
  <si>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</si>
  <si>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</si>
  <si>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</si>
  <si>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</si>
  <si>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</si>
  <si>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</si>
  <si>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</si>
  <si>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</si>
  <si>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</si>
  <si>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</si>
  <si>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</si>
  <si>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</si>
  <si>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</si>
  <si>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</si>
  <si>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</si>
  <si>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</si>
  <si>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</si>
  <si>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</si>
  <si>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</si>
  <si>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</si>
  <si>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</si>
  <si>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</si>
  <si>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</si>
  <si>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</si>
  <si>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</si>
  <si>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</si>
  <si>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</si>
  <si>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</si>
  <si>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</si>
  <si>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</si>
  <si>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</si>
  <si>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</si>
  <si>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</si>
  <si>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</si>
  <si>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</si>
  <si>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</si>
  <si>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</si>
  <si>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</si>
  <si>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</si>
  <si>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</si>
  <si>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</si>
  <si>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</si>
  <si>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</si>
  <si>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</si>
  <si>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</si>
  <si>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</si>
  <si>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</si>
  <si>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</si>
  <si>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</si>
  <si>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</si>
  <si>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</si>
  <si>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</si>
  <si>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</si>
  <si>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</si>
  <si>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</si>
  <si>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</si>
  <si>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</si>
  <si>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</si>
  <si>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</si>
  <si>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</si>
  <si>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</si>
  <si>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</si>
  <si>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</si>
  <si>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</si>
  <si>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</si>
  <si>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</si>
  <si>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</si>
  <si>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</si>
  <si>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</si>
  <si>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</si>
  <si>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</si>
  <si>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</si>
  <si>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</si>
  <si>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</si>
  <si>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</si>
  <si>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</si>
  <si>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</si>
  <si>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</si>
  <si>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</si>
  <si>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</si>
  <si>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</si>
  <si>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</si>
  <si>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</si>
  <si>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</si>
  <si>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</si>
  <si>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</si>
  <si>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</si>
  <si>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</si>
  <si>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</si>
  <si>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</si>
  <si>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</si>
  <si>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</si>
  <si>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</si>
  <si>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</si>
  <si>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</si>
  <si>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</si>
  <si>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</si>
  <si>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</si>
  <si>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</si>
  <si>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</si>
  <si>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</si>
  <si>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</si>
  <si>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</si>
  <si>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</si>
  <si>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</si>
  <si>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</si>
  <si>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</si>
  <si>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</si>
  <si>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</si>
  <si>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</si>
  <si>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</si>
  <si>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</si>
  <si>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</si>
  <si>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</si>
  <si>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</si>
  <si>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</si>
  <si>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</si>
  <si>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</si>
  <si>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</si>
  <si>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</si>
  <si>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</si>
  <si>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</si>
  <si>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</si>
  <si>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</si>
  <si>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</si>
  <si>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</si>
  <si>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</si>
  <si>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</si>
  <si>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</si>
  <si>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</si>
  <si>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</si>
  <si>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</si>
  <si>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</si>
  <si>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</si>
  <si>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</si>
  <si>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</si>
  <si>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</si>
  <si>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</si>
  <si>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</si>
  <si>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</si>
  <si>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</si>
  <si>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</si>
  <si>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</si>
  <si>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</si>
  <si>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</si>
  <si>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</si>
  <si>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</si>
  <si>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</si>
  <si>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</si>
  <si>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</si>
  <si>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</si>
  <si>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</si>
  <si>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</si>
  <si>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</si>
  <si>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</si>
  <si>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</si>
  <si>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</si>
  <si>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</si>
  <si>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</si>
  <si>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</si>
  <si>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</si>
  <si>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</si>
  <si>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</si>
  <si>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</si>
  <si>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</si>
  <si>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</si>
  <si>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</si>
  <si>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</si>
  <si>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</si>
  <si>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</si>
  <si>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</si>
  <si>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</si>
  <si>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</si>
  <si>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</si>
  <si>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</si>
  <si>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</si>
  <si>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</si>
  <si>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</si>
  <si>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</si>
  <si>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</si>
  <si>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</si>
  <si>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</si>
  <si>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</si>
  <si>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</si>
  <si>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</si>
  <si>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</si>
  <si>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</si>
  <si>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</si>
  <si>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</si>
  <si>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</si>
  <si>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</si>
  <si>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</si>
  <si>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</si>
  <si>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</si>
  <si>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</si>
  <si>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</si>
  <si>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</si>
  <si>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</si>
  <si>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</si>
  <si>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</si>
  <si>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</si>
  <si>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</si>
  <si>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</si>
  <si>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</si>
  <si>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</si>
  <si>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</si>
  <si>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</si>
  <si>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</si>
  <si>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</si>
  <si>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</si>
  <si>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</si>
  <si>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</si>
  <si>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</si>
  <si>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</si>
  <si>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</si>
  <si>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</si>
  <si>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</si>
  <si>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</si>
  <si>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</si>
  <si>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</si>
  <si>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</si>
  <si>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</si>
  <si>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</si>
  <si>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</si>
  <si>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</si>
  <si>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</si>
  <si>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</si>
  <si>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</si>
  <si>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</si>
  <si>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</si>
  <si>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</si>
  <si>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</si>
  <si>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</si>
  <si>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</si>
  <si>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</si>
  <si>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</si>
  <si>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</si>
  <si>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</si>
  <si>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</si>
  <si>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</si>
  <si>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</si>
  <si>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</si>
  <si>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</si>
  <si>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</si>
  <si>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</si>
  <si>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</si>
  <si>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</si>
  <si>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</si>
  <si>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</si>
  <si>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</si>
  <si>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</si>
  <si>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</si>
  <si>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</si>
  <si>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</si>
  <si>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</si>
  <si>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</si>
  <si>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</si>
  <si>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</si>
  <si>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</si>
  <si>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</si>
  <si>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</si>
  <si>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</si>
  <si>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</si>
  <si>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</si>
  <si>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</si>
  <si>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</si>
  <si>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</si>
  <si>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</si>
  <si>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</si>
  <si>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</si>
  <si>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</si>
  <si>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</si>
  <si>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</si>
  <si>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</si>
  <si>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</si>
  <si>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</si>
  <si>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</si>
  <si>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</si>
  <si>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</si>
  <si>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</si>
  <si>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</si>
  <si>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</si>
  <si>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</si>
  <si>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</si>
  <si>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</si>
  <si>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</si>
  <si>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</si>
  <si>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</si>
  <si>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</si>
  <si>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</si>
  <si>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</si>
  <si>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</si>
  <si>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</si>
  <si>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</si>
  <si>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</si>
  <si>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</si>
  <si>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</si>
  <si>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</si>
  <si>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</si>
  <si>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</si>
  <si>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</si>
  <si>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</si>
  <si>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</si>
  <si>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</si>
  <si>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</si>
  <si>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</si>
  <si>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</si>
  <si>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</si>
  <si>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</si>
  <si>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</si>
  <si>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</si>
  <si>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</si>
  <si>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</si>
  <si>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</si>
  <si>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</si>
  <si>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</si>
  <si>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</si>
  <si>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</si>
  <si>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</si>
  <si>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</si>
  <si>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</si>
  <si>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</si>
  <si>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</si>
  <si>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</si>
  <si>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</si>
  <si>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</si>
  <si>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</si>
  <si>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</si>
  <si>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</si>
  <si>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</si>
  <si>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</si>
  <si>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</si>
  <si>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</si>
  <si>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</si>
  <si>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</si>
  <si>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</si>
  <si>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</si>
  <si>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</si>
  <si>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</si>
  <si>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</si>
  <si>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</si>
  <si>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</si>
  <si>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</si>
  <si>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</si>
  <si>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</si>
  <si>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</si>
  <si>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</si>
  <si>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</si>
  <si>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</si>
  <si>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</si>
  <si>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</si>
  <si>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</si>
  <si>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</si>
  <si>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</si>
  <si>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</si>
  <si>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</si>
  <si>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</si>
  <si>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</si>
  <si>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</si>
  <si>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</si>
  <si>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</si>
  <si>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</si>
  <si>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</si>
  <si>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</si>
  <si>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</si>
  <si>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</si>
  <si>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</si>
  <si>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</si>
  <si>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</si>
  <si>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</si>
  <si>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</si>
  <si>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</si>
  <si>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</si>
  <si>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</si>
  <si>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</si>
  <si>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</si>
  <si>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</si>
  <si>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</si>
  <si>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</si>
  <si>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</si>
  <si>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</si>
  <si>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</si>
  <si>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</si>
  <si>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</si>
  <si>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</si>
  <si>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</si>
  <si>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</si>
  <si>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</si>
  <si>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</si>
  <si>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</si>
  <si>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</si>
  <si>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</si>
  <si>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</si>
  <si>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</si>
  <si>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</si>
  <si>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</si>
  <si>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</si>
  <si>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</si>
  <si>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</si>
  <si>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</si>
  <si>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</si>
  <si>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</si>
  <si>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</si>
  <si>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</si>
  <si>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</si>
  <si>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</si>
  <si>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</si>
  <si>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</si>
  <si>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</si>
  <si>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</si>
  <si>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</si>
  <si>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</si>
  <si>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</si>
  <si>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</si>
  <si>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</si>
  <si>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</si>
  <si>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</si>
  <si>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</si>
  <si>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</si>
  <si>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</si>
  <si>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</si>
  <si>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</si>
  <si>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</si>
  <si>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</si>
  <si>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</si>
  <si>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</si>
  <si>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</si>
  <si>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</si>
  <si>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</si>
  <si>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</si>
  <si>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</si>
  <si>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</si>
  <si>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</si>
  <si>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</si>
  <si>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</si>
  <si>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</si>
  <si>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</si>
  <si>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</si>
  <si>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</si>
  <si>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</si>
  <si>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</si>
  <si>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</si>
  <si>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</si>
  <si>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</si>
  <si>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</si>
  <si>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</si>
  <si>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</si>
  <si>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</si>
  <si>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</si>
  <si>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</si>
  <si>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</si>
  <si>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</si>
  <si>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</si>
  <si>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</si>
  <si>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</si>
  <si>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</si>
  <si>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</si>
  <si>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</si>
  <si>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</si>
  <si>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</si>
  <si>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</si>
  <si>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</si>
  <si>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</si>
  <si>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</si>
  <si>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</si>
  <si>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</si>
  <si>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</si>
  <si>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</si>
  <si>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</si>
  <si>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</si>
  <si>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</si>
  <si>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</si>
  <si>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</si>
  <si>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</si>
  <si>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</si>
  <si>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</si>
  <si>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</si>
  <si>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</si>
  <si>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</si>
  <si>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</si>
  <si>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</si>
  <si>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</si>
  <si>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</si>
  <si>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</si>
  <si>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</si>
  <si>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</si>
  <si>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</si>
  <si>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</si>
  <si>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</si>
  <si>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</si>
  <si>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</si>
  <si>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</si>
  <si>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</si>
  <si>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</si>
  <si>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</si>
  <si>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</si>
  <si>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</si>
  <si>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</si>
  <si>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</si>
  <si>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</si>
  <si>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</si>
  <si>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</si>
  <si>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</si>
  <si>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</si>
  <si>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</si>
  <si>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</si>
  <si>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</si>
  <si>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</si>
  <si>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</si>
  <si>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</si>
  <si>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</si>
  <si>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</si>
  <si>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</si>
  <si>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</si>
  <si>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</si>
  <si>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</si>
  <si>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</si>
  <si>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</si>
  <si>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</si>
  <si>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</si>
  <si>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</si>
  <si>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</si>
  <si>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</si>
  <si>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</si>
  <si>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</si>
  <si>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</si>
  <si>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</si>
  <si>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</si>
  <si>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</si>
  <si>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</si>
  <si>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</si>
  <si>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</si>
  <si>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</si>
  <si>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</si>
  <si>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</si>
  <si>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</si>
  <si>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</si>
  <si>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</si>
  <si>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</si>
  <si>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</si>
  <si>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</si>
  <si>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</si>
  <si>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</si>
  <si>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</si>
  <si>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</si>
  <si>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</si>
  <si>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</si>
  <si>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</si>
  <si>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</si>
  <si>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</si>
  <si>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</si>
  <si>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</si>
  <si>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</si>
  <si>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</si>
  <si>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</si>
  <si>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</si>
  <si>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</si>
  <si>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</si>
  <si>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</si>
  <si>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</si>
  <si>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</si>
  <si>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</si>
  <si>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</si>
  <si>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</si>
  <si>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</si>
  <si>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</si>
  <si>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</si>
  <si>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</si>
  <si>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</si>
  <si>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</si>
  <si>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</si>
  <si>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</si>
  <si>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</si>
  <si>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</si>
  <si>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</si>
  <si>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</si>
  <si>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</si>
  <si>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</si>
  <si>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</si>
  <si>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</si>
  <si>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</si>
  <si>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</si>
  <si>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</si>
  <si>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</si>
  <si>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</si>
  <si>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</si>
  <si>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</si>
  <si>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</si>
  <si>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</si>
  <si>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</si>
  <si>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</si>
  <si>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</si>
  <si>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</si>
  <si>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</si>
  <si>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</si>
  <si>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</si>
  <si>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</si>
  <si>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</si>
  <si>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</si>
  <si>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</si>
  <si>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</si>
  <si>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</si>
  <si>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</si>
  <si>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</si>
  <si>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</si>
  <si>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</si>
  <si>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</si>
  <si>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</si>
  <si>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</si>
  <si>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</si>
  <si>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</si>
  <si>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</si>
  <si>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</si>
  <si>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</si>
  <si>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</si>
  <si>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</si>
  <si>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</si>
  <si>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</si>
  <si>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</si>
  <si>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</si>
  <si>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</si>
  <si>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</si>
  <si>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</si>
  <si>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</si>
  <si>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</si>
  <si>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</si>
  <si>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</si>
  <si>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</si>
  <si>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</si>
  <si>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</si>
  <si>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</si>
  <si>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</si>
  <si>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</si>
  <si>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</si>
  <si>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</si>
  <si>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</si>
  <si>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</si>
  <si>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</si>
  <si>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</si>
  <si>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</si>
  <si>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</si>
  <si>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</si>
  <si>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</si>
  <si>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</si>
  <si>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</si>
  <si>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</si>
  <si>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</si>
  <si>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</si>
  <si>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</si>
  <si>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</si>
  <si>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</si>
  <si>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</si>
  <si>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</si>
  <si>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</si>
  <si>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</si>
  <si>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</si>
  <si>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</si>
  <si>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</si>
  <si>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</si>
  <si>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</si>
  <si>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</si>
  <si>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</si>
  <si>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</si>
  <si>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</si>
  <si>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</si>
  <si>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</si>
  <si>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</si>
  <si>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</si>
  <si>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</si>
  <si>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</si>
  <si>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</si>
  <si>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</si>
  <si>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</si>
  <si>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</si>
  <si>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</si>
  <si>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</si>
  <si>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</si>
  <si>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</si>
  <si>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</si>
  <si>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</si>
  <si>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</si>
  <si>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</si>
  <si>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</si>
  <si>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</si>
  <si>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</si>
  <si>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</si>
  <si>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</si>
  <si>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</si>
  <si>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</si>
  <si>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</si>
  <si>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</si>
  <si>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</si>
  <si>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</si>
  <si>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</si>
  <si>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</si>
  <si>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</si>
  <si>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</si>
  <si>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</si>
  <si>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</si>
  <si>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</si>
  <si>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</si>
  <si>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</si>
  <si>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</si>
  <si>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</si>
  <si>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</si>
  <si>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</si>
  <si>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</si>
  <si>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</si>
  <si>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</si>
  <si>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</si>
  <si>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</si>
  <si>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</si>
  <si>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</si>
  <si>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</si>
  <si>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</si>
  <si>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</si>
  <si>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</si>
  <si>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</si>
  <si>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</si>
  <si>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</si>
  <si>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</si>
  <si>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</si>
  <si>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</si>
  <si>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</si>
  <si>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</si>
  <si>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</si>
  <si>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</si>
  <si>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</si>
  <si>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</si>
  <si>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</si>
  <si>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</si>
  <si>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</si>
  <si>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</si>
  <si>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</si>
  <si>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</si>
  <si>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</si>
  <si>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</si>
  <si>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</si>
  <si>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</si>
  <si>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</si>
  <si>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</si>
  <si>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</si>
  <si>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</si>
  <si>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</si>
  <si>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</si>
  <si>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</si>
  <si>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</si>
  <si>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</si>
  <si>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</si>
  <si>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</si>
  <si>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</si>
  <si>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</si>
  <si>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</si>
  <si>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</si>
  <si>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</si>
  <si>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</si>
  <si>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</si>
  <si>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</si>
  <si>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</si>
  <si>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</si>
  <si>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</si>
  <si>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</si>
  <si>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</si>
  <si>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</si>
  <si>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</si>
  <si>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</si>
  <si>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</si>
  <si>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</si>
  <si>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</si>
  <si>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</si>
  <si>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</si>
  <si>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</si>
  <si>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</si>
  <si>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</si>
  <si>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</si>
  <si>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</si>
  <si>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</si>
  <si>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</si>
  <si>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</si>
  <si>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</si>
  <si>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</si>
  <si>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</si>
  <si>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</si>
  <si>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</si>
  <si>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</si>
  <si>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</si>
  <si>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</si>
  <si>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</si>
  <si>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</si>
  <si>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</si>
  <si>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</si>
  <si>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</si>
  <si>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</si>
  <si>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</si>
  <si>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</si>
  <si>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</si>
  <si>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</si>
  <si>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</si>
  <si>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</si>
  <si>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</si>
  <si>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</si>
  <si>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</si>
  <si>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</si>
  <si>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</si>
  <si>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</si>
  <si>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</si>
  <si>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</si>
  <si>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</si>
  <si>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</si>
  <si>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</si>
  <si>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</si>
  <si>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</si>
  <si>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</si>
  <si>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</si>
  <si>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</si>
  <si>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</si>
  <si>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</si>
  <si>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</si>
  <si>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</si>
  <si>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</si>
  <si>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</si>
  <si>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</si>
  <si>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</si>
  <si>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</si>
  <si>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</si>
  <si>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</si>
  <si>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</si>
  <si>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</si>
  <si>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</si>
  <si>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</si>
  <si>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</si>
  <si>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</si>
  <si>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</si>
  <si>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</si>
  <si>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</si>
  <si>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</si>
  <si>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</si>
  <si>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</si>
  <si>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</si>
  <si>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</si>
  <si>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</si>
  <si>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</si>
  <si>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</si>
  <si>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</si>
  <si>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</si>
  <si>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</si>
  <si>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</si>
  <si>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</si>
  <si>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</si>
  <si>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</si>
  <si>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</si>
  <si>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</si>
  <si>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</si>
  <si>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</si>
  <si>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</si>
  <si>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</si>
  <si>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</si>
  <si>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</si>
  <si>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</si>
  <si>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</si>
  <si>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</si>
  <si>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</si>
  <si>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</si>
  <si>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</si>
  <si>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</si>
  <si>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</si>
  <si>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</si>
  <si>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</si>
  <si>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</si>
  <si>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</si>
  <si>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</si>
  <si>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</si>
  <si>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</si>
  <si>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</si>
  <si>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</si>
  <si>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</si>
  <si>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</si>
  <si>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</si>
  <si>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</si>
  <si>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</si>
  <si>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</si>
  <si>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</si>
  <si>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</si>
  <si>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</si>
  <si>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</si>
  <si>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</si>
  <si>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</si>
  <si>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</si>
  <si>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</si>
  <si>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</si>
  <si>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</si>
  <si>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</si>
  <si>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</si>
  <si>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</si>
  <si>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</si>
  <si>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</si>
  <si>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</si>
  <si>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</si>
  <si>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</si>
  <si>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</si>
  <si>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</si>
  <si>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</si>
  <si>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</si>
  <si>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</si>
  <si>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</si>
  <si>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</si>
  <si>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</si>
  <si>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</si>
  <si>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</si>
  <si>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</si>
  <si>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</si>
  <si>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</si>
  <si>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</si>
  <si>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</si>
  <si>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</si>
  <si>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</si>
  <si>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</si>
  <si>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</si>
  <si>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</si>
  <si>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</si>
  <si>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</si>
  <si>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</si>
  <si>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</si>
  <si>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</si>
  <si>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</si>
  <si>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</si>
  <si>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</si>
  <si>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</si>
  <si>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</si>
  <si>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</si>
  <si>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</si>
  <si>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</si>
  <si>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</si>
  <si>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</si>
  <si>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</si>
  <si>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</si>
  <si>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</si>
  <si>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</si>
  <si>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</si>
  <si>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</si>
  <si>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</si>
  <si>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</si>
  <si>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</si>
  <si>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</si>
  <si>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</si>
  <si>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</si>
  <si>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</si>
  <si>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</si>
  <si>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</si>
  <si>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</si>
  <si>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</si>
  <si>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</si>
  <si>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</si>
  <si>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</si>
  <si>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</si>
  <si>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</si>
  <si>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</si>
  <si>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</si>
  <si>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</si>
  <si>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</si>
  <si>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</si>
  <si>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</si>
  <si>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</si>
  <si>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</si>
  <si>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</si>
  <si>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</si>
  <si>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</si>
  <si>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</si>
  <si>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</si>
  <si>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</si>
  <si>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</si>
  <si>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</si>
  <si>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</si>
  <si>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</si>
  <si>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</si>
  <si>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</si>
  <si>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</si>
  <si>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</si>
  <si>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</si>
  <si>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</si>
  <si>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</si>
  <si>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</si>
  <si>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</si>
  <si>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</si>
  <si>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</si>
  <si>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</si>
  <si>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</si>
  <si>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</si>
  <si>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</si>
  <si>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</si>
  <si>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</si>
  <si>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</si>
  <si>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</si>
  <si>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</si>
  <si>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</si>
  <si>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</si>
  <si>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</si>
  <si>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</si>
  <si>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</si>
  <si>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</si>
  <si>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</si>
  <si>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</si>
  <si>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</si>
  <si>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</si>
  <si>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</si>
  <si>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</si>
  <si>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</si>
  <si>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</si>
  <si>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</si>
  <si>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</si>
  <si>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</si>
  <si>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</si>
  <si>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</si>
  <si>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</si>
  <si>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</si>
  <si>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</si>
  <si>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</si>
  <si>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</si>
  <si>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</si>
  <si>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</si>
  <si>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</si>
  <si>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</si>
  <si>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</si>
  <si>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</si>
  <si>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</si>
  <si>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</si>
  <si>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</si>
  <si>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</si>
  <si>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</si>
  <si>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</si>
  <si>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</si>
  <si>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</si>
  <si>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</si>
  <si>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</si>
  <si>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</si>
  <si>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</si>
  <si>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</si>
  <si>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</si>
  <si>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</si>
  <si>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</si>
  <si>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</si>
  <si>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</si>
  <si>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</si>
  <si>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</si>
  <si>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</si>
  <si>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</si>
  <si>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</si>
  <si>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</si>
  <si>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</si>
  <si>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</si>
  <si>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</si>
  <si>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</si>
  <si>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</si>
  <si>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</si>
  <si>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</si>
  <si>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</si>
  <si>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</si>
  <si>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</si>
  <si>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</si>
  <si>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</si>
  <si>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</si>
  <si>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</si>
  <si>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</si>
  <si>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</si>
  <si>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</si>
  <si>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</si>
  <si>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</si>
  <si>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</si>
  <si>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</si>
  <si>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</si>
  <si>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</si>
  <si>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</si>
  <si>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</si>
  <si>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</si>
  <si>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</si>
  <si>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</si>
  <si>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</si>
  <si>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</si>
  <si>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</si>
  <si>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</si>
  <si>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</si>
  <si>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</si>
  <si>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</si>
  <si>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</si>
  <si>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</si>
  <si>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</si>
  <si>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</si>
  <si>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</si>
  <si>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</si>
  <si>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</si>
  <si>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</si>
  <si>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</si>
  <si>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</si>
  <si>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</si>
  <si>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</si>
  <si>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</si>
  <si>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</si>
  <si>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</si>
  <si>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</si>
  <si>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</si>
  <si>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</si>
  <si>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</si>
  <si>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</si>
  <si>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</si>
  <si>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</si>
  <si>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</si>
  <si>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</si>
  <si>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</si>
  <si>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</si>
  <si>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</si>
  <si>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</si>
  <si>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</si>
  <si>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</si>
  <si>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</si>
  <si>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</si>
  <si>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</si>
  <si>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</si>
  <si>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</si>
  <si>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</si>
  <si>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</si>
  <si>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</si>
  <si>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</si>
  <si>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</si>
  <si>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</si>
  <si>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</si>
  <si>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</si>
  <si>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</si>
  <si>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</si>
  <si>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</si>
  <si>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</si>
  <si>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</si>
  <si>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</si>
  <si>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</si>
  <si>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</si>
  <si>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</si>
  <si>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</si>
  <si>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</si>
  <si>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</si>
  <si>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</si>
  <si>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</si>
  <si>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</si>
  <si>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</si>
  <si>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</si>
  <si>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</si>
  <si>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</si>
  <si>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</si>
  <si>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</si>
  <si>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</si>
  <si>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</si>
  <si>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</si>
  <si>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</si>
  <si>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</si>
  <si>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</si>
  <si>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</si>
  <si>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</si>
  <si>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</si>
  <si>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</si>
  <si>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</si>
  <si>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</si>
  <si>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</si>
  <si>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</si>
  <si>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</si>
  <si>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</si>
  <si>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</si>
  <si>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</si>
  <si>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</si>
  <si>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</si>
  <si>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</si>
  <si>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</si>
  <si>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</si>
  <si>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</si>
  <si>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</si>
  <si>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</si>
  <si>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</si>
  <si>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</si>
  <si>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</si>
  <si>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</si>
  <si>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</si>
  <si>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</si>
  <si>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</si>
  <si>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</si>
  <si>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</si>
  <si>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</si>
  <si>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</si>
  <si>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</si>
  <si>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</si>
  <si>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</si>
  <si>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</si>
  <si>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</si>
  <si>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</si>
  <si>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</si>
  <si>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</si>
  <si>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</si>
  <si>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</si>
  <si>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</si>
  <si>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</si>
  <si>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</si>
  <si>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</si>
  <si>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</si>
  <si>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</si>
  <si>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</si>
  <si>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</si>
  <si>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</si>
  <si>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</si>
  <si>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</si>
  <si>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</si>
  <si>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</si>
  <si>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</si>
  <si>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</si>
  <si>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</si>
  <si>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</si>
  <si>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</si>
  <si>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</si>
  <si>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</si>
  <si>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</si>
  <si>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</si>
  <si>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</si>
  <si>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</si>
  <si>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</si>
  <si>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</si>
  <si>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</si>
  <si>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</si>
  <si>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</si>
  <si>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</si>
  <si>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</si>
  <si>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</si>
  <si>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</si>
  <si>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</si>
  <si>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</si>
  <si>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</si>
  <si>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</si>
  <si>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</si>
  <si>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</si>
  <si>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</si>
  <si>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</si>
  <si>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</si>
  <si>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</si>
  <si>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</si>
  <si>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</si>
  <si>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</si>
  <si>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</si>
  <si>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</si>
  <si>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</si>
  <si>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</si>
  <si>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</si>
  <si>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</si>
  <si>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</si>
  <si>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</si>
  <si>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</si>
  <si>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</si>
  <si>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</si>
  <si>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</si>
  <si>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</si>
  <si>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</si>
  <si>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</si>
  <si>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</si>
  <si>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</si>
  <si>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</si>
  <si>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</si>
  <si>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</si>
  <si>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</si>
  <si>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</si>
  <si>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</si>
  <si>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</si>
  <si>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</si>
  <si>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</si>
  <si>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</si>
  <si>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</si>
  <si>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</si>
  <si>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</si>
  <si>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</si>
  <si>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</si>
  <si>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</si>
  <si>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</si>
  <si>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</si>
  <si>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</si>
  <si>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</si>
  <si>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</si>
  <si>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</si>
  <si>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</si>
  <si>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</si>
  <si>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</si>
  <si>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</si>
  <si>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</si>
  <si>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</si>
  <si>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</si>
  <si>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</si>
  <si>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</si>
  <si>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</si>
  <si>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</si>
  <si>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</si>
  <si>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</si>
  <si>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</si>
  <si>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</si>
  <si>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</si>
  <si>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</si>
  <si>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</si>
  <si>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</si>
  <si>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</si>
  <si>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</si>
  <si>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</si>
  <si>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</si>
  <si>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</si>
  <si>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</si>
  <si>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</si>
  <si>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</si>
  <si>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</si>
  <si>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</si>
  <si>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</si>
  <si>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</si>
  <si>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</si>
  <si>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</si>
  <si>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</si>
  <si>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</si>
  <si>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</si>
  <si>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</si>
  <si>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</si>
  <si>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</si>
  <si>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</si>
  <si>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</si>
  <si>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</si>
  <si>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</si>
  <si>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</si>
  <si>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</si>
  <si>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</si>
  <si>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</si>
  <si>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</si>
  <si>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</si>
  <si>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</si>
  <si>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</si>
  <si>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</si>
  <si>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</si>
  <si>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</si>
  <si>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</si>
  <si>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</si>
  <si>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</si>
  <si>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</si>
  <si>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</si>
  <si>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</si>
  <si>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</si>
  <si>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</si>
  <si>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</si>
  <si>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</si>
  <si>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</si>
  <si>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</si>
  <si>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</si>
  <si>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</si>
  <si>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</si>
  <si>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</si>
  <si>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</si>
  <si>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</si>
  <si>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</si>
  <si>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</si>
  <si>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</si>
  <si>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</si>
  <si>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</si>
  <si>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</si>
  <si>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</si>
  <si>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</si>
  <si>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</si>
  <si>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</si>
  <si>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</si>
  <si>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</si>
  <si>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</si>
  <si>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</si>
  <si>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</si>
  <si>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</si>
  <si>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</si>
  <si>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</si>
  <si>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</si>
  <si>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</si>
  <si>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</si>
  <si>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</si>
  <si>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</si>
  <si>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</si>
  <si>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</si>
  <si>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</si>
  <si>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</si>
  <si>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</si>
  <si>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</si>
  <si>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</si>
  <si>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</si>
  <si>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</si>
  <si>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</si>
  <si>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</si>
  <si>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</si>
  <si>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</si>
  <si>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</si>
  <si>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</si>
  <si>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</si>
  <si>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</si>
  <si>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</si>
  <si>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</si>
  <si>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</si>
  <si>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</si>
  <si>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</si>
  <si>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</si>
  <si>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</si>
  <si>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</si>
  <si>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</si>
  <si>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</si>
  <si>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</si>
  <si>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</si>
  <si>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</si>
  <si>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</si>
  <si>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</si>
  <si>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</si>
  <si>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</si>
  <si>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</si>
  <si>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</si>
  <si>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</si>
  <si>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</si>
  <si>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</si>
  <si>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</si>
  <si>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</si>
  <si>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</si>
  <si>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</si>
  <si>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</si>
  <si>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</si>
  <si>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</si>
  <si>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</si>
  <si>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</si>
  <si>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</si>
  <si>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</si>
  <si>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</si>
  <si>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</si>
  <si>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</si>
  <si>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</si>
  <si>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</si>
  <si>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</si>
  <si>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</si>
  <si>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</si>
  <si>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</si>
  <si>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</si>
  <si>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</si>
  <si>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</si>
  <si>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</si>
  <si>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</si>
  <si>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</si>
  <si>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</si>
  <si>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</si>
  <si>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</si>
  <si>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</si>
  <si>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</si>
  <si>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</si>
  <si>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</si>
  <si>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</si>
  <si>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</si>
  <si>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</si>
  <si>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</si>
  <si>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</si>
  <si>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</si>
  <si>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</si>
  <si>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</si>
  <si>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</si>
  <si>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</si>
  <si>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</si>
  <si>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</si>
  <si>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</si>
  <si>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</si>
  <si>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</si>
  <si>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</si>
  <si>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</si>
  <si>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</si>
  <si>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</si>
  <si>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</si>
  <si>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</si>
  <si>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</si>
  <si>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</si>
  <si>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</si>
  <si>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</si>
  <si>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</si>
  <si>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</si>
  <si>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</si>
  <si>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</si>
  <si>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</si>
  <si>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</si>
  <si>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</si>
  <si>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</si>
  <si>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</si>
  <si>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</si>
  <si>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</si>
  <si>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</si>
  <si>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</si>
  <si>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</si>
  <si>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</si>
  <si>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</si>
  <si>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</si>
  <si>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</si>
  <si>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</si>
  <si>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</si>
  <si>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</si>
  <si>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</si>
  <si>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</si>
  <si>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</si>
  <si>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</si>
  <si>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</si>
  <si>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</si>
  <si>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</si>
  <si>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</si>
  <si>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</si>
  <si>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</si>
  <si>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</si>
  <si>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</si>
  <si>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</si>
  <si>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</si>
  <si>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</si>
  <si>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</si>
  <si>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</si>
  <si>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</si>
  <si>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</si>
  <si>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</si>
  <si>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</si>
  <si>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</si>
  <si>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</si>
  <si>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</si>
  <si>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</si>
  <si>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</si>
  <si>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</si>
  <si>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</si>
  <si>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</si>
  <si>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</si>
  <si>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</si>
  <si>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</si>
  <si>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</si>
  <si>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</si>
  <si>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</si>
  <si>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</si>
  <si>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</si>
  <si>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</si>
  <si>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</si>
  <si>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</si>
  <si>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</si>
  <si>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</si>
  <si>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</si>
  <si>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</si>
  <si>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</si>
  <si>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</si>
  <si>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</si>
  <si>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</si>
  <si>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</si>
  <si>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</si>
  <si>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</si>
  <si>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</si>
  <si>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</si>
  <si>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</si>
  <si>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</si>
  <si>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</si>
  <si>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</si>
  <si>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</si>
  <si>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</si>
  <si>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</si>
  <si>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</si>
  <si>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</si>
  <si>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</si>
  <si>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</si>
  <si>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</si>
  <si>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</si>
  <si>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</si>
  <si>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</si>
  <si>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</si>
  <si>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</si>
  <si>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</si>
  <si>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</si>
  <si>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</si>
  <si>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</si>
  <si>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</si>
  <si>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</si>
  <si>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</si>
  <si>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</si>
  <si>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</si>
  <si>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</si>
  <si>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</si>
  <si>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</si>
  <si>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</si>
  <si>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</si>
  <si>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</si>
  <si>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</si>
  <si>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</si>
  <si>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</si>
  <si>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</si>
  <si>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</si>
  <si>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</si>
  <si>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</si>
  <si>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</si>
  <si>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</si>
  <si>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</si>
  <si>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</si>
  <si>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</si>
  <si>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</si>
  <si>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</si>
  <si>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</si>
  <si>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</si>
  <si>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</si>
  <si>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</si>
  <si>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</si>
  <si>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</si>
  <si>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</si>
  <si>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</si>
  <si>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</si>
  <si>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</si>
  <si>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</si>
  <si>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</si>
  <si>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</si>
  <si>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</si>
  <si>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</si>
  <si>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</si>
  <si>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</si>
  <si>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</si>
  <si>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</si>
  <si>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</si>
  <si>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</si>
  <si>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</si>
  <si>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</si>
  <si>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</si>
  <si>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</si>
  <si>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</si>
  <si>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</si>
  <si>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</si>
  <si>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</si>
  <si>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</si>
  <si>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</si>
  <si>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</si>
  <si>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</si>
  <si>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</si>
  <si>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</si>
  <si>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</si>
  <si>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</si>
  <si>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</si>
  <si>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</si>
  <si>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</si>
  <si>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</si>
  <si>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</si>
  <si>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</si>
  <si>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</si>
  <si>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</si>
  <si>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</si>
  <si>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</si>
  <si>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</si>
  <si>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</si>
  <si>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</si>
  <si>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</si>
  <si>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</si>
  <si>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</si>
  <si>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</si>
  <si>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</si>
  <si>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</si>
  <si>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</si>
  <si>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</si>
  <si>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</si>
  <si>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</si>
  <si>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</si>
  <si>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</si>
  <si>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</si>
  <si>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</si>
  <si>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</si>
  <si>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</si>
  <si>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</si>
  <si>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</si>
  <si>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</si>
  <si>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</si>
  <si>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</si>
  <si>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</si>
  <si>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</si>
  <si>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</si>
  <si>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</si>
  <si>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</si>
  <si>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</si>
  <si>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</si>
  <si>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</si>
  <si>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</si>
  <si>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</si>
  <si>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</si>
  <si>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</si>
  <si>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</si>
  <si>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</si>
  <si>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</si>
  <si>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</si>
  <si>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</si>
  <si>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</si>
  <si>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</si>
  <si>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</si>
  <si>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</si>
  <si>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</si>
  <si>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</si>
  <si>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</si>
  <si>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</si>
  <si>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</si>
  <si>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</si>
  <si>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</si>
  <si>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</si>
  <si>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</si>
  <si>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</si>
  <si>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</si>
  <si>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</si>
  <si>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</si>
  <si>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</si>
  <si>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</si>
  <si>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</si>
  <si>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</si>
  <si>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</si>
  <si>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</si>
  <si>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</si>
  <si>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</si>
  <si>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</si>
  <si>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</si>
  <si>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</si>
  <si>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</si>
  <si>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</si>
  <si>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</si>
  <si>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</si>
  <si>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</si>
  <si>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</si>
  <si>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</si>
  <si>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</si>
  <si>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</si>
  <si>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</si>
  <si>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</si>
  <si>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</si>
  <si>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</si>
  <si>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</si>
  <si>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</si>
  <si>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</si>
  <si>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</si>
  <si>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</si>
  <si>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</si>
  <si>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</si>
  <si>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</si>
  <si>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</si>
  <si>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</si>
  <si>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</si>
  <si>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</si>
  <si>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</si>
  <si>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</si>
  <si>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</si>
  <si>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</si>
  <si>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</si>
  <si>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</si>
  <si>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</si>
  <si>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</si>
  <si>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</si>
  <si>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</si>
  <si>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</si>
  <si>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</si>
  <si>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</si>
  <si>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</si>
  <si>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</si>
  <si>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</si>
  <si>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</si>
  <si>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</si>
  <si>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</si>
  <si>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</si>
  <si>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</si>
  <si>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</si>
  <si>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</si>
  <si>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</si>
  <si>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</si>
  <si>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</si>
  <si>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</si>
  <si>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</si>
  <si>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</si>
  <si>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</si>
  <si>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</si>
  <si>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</si>
  <si>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</si>
  <si>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</si>
  <si>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</si>
  <si>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</si>
  <si>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</si>
  <si>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</si>
  <si>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</si>
  <si>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</si>
  <si>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</si>
  <si>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</si>
  <si>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</si>
  <si>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</si>
  <si>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</si>
  <si>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</si>
  <si>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</si>
  <si>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</si>
  <si>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</si>
  <si>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</si>
  <si>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</si>
  <si>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</si>
  <si>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</si>
  <si>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</si>
  <si>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</si>
  <si>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</si>
  <si>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</si>
  <si>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</si>
  <si>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</si>
  <si>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</si>
  <si>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</si>
  <si>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</si>
  <si>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</si>
  <si>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</si>
  <si>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</si>
  <si>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</si>
  <si>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</si>
  <si>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</si>
  <si>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</si>
  <si>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</si>
  <si>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</si>
  <si>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</si>
  <si>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</si>
  <si>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</si>
  <si>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</si>
  <si>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</si>
  <si>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</si>
  <si>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</si>
  <si>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</si>
  <si>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</si>
  <si>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</si>
  <si>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</si>
  <si>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</si>
  <si>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</si>
  <si>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</si>
  <si>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</si>
  <si>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</si>
  <si>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</si>
  <si>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</si>
  <si>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</si>
  <si>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</si>
  <si>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</si>
  <si>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</si>
  <si>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</si>
  <si>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</si>
  <si>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</si>
  <si>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</si>
  <si>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</si>
  <si>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</si>
  <si>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</si>
  <si>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</si>
  <si>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</si>
  <si>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</si>
  <si>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</si>
  <si>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</si>
  <si>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</si>
  <si>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</si>
  <si>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</si>
  <si>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</si>
  <si>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</si>
  <si>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</si>
  <si>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</si>
  <si>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</si>
  <si>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</si>
  <si>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</si>
  <si>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</si>
  <si>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</si>
  <si>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</si>
  <si>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</si>
  <si>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</si>
  <si>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</si>
  <si>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</si>
  <si>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</si>
  <si>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</si>
  <si>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</si>
  <si>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</si>
  <si>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</si>
  <si>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</si>
  <si>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</si>
  <si>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</si>
  <si>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</si>
  <si>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</si>
  <si>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</si>
  <si>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</si>
  <si>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</si>
  <si>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</si>
  <si>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</si>
  <si>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</si>
  <si>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</si>
  <si>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</si>
  <si>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</si>
  <si>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</si>
  <si>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</si>
  <si>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</si>
  <si>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</si>
  <si>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</si>
  <si>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</si>
  <si>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</si>
  <si>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</si>
  <si>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</si>
  <si>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</si>
  <si>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</si>
  <si>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</si>
  <si>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</si>
  <si>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</si>
  <si>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</si>
  <si>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</si>
  <si>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</si>
  <si>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</si>
  <si>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</si>
  <si>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</si>
  <si>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</si>
  <si>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</si>
  <si>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</si>
  <si>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</si>
  <si>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</si>
  <si>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</si>
  <si>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</si>
  <si>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</si>
  <si>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</si>
  <si>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</si>
  <si>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</si>
  <si>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</si>
  <si>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</si>
  <si>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</si>
  <si>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</si>
  <si>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</si>
  <si>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</si>
  <si>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</si>
  <si>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</si>
  <si>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</si>
  <si>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</si>
  <si>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</si>
  <si>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</si>
  <si>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</si>
  <si>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</si>
  <si>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</si>
  <si>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</si>
  <si>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</si>
  <si>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</si>
  <si>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</si>
  <si>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</si>
  <si>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</si>
  <si>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</si>
  <si>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</si>
  <si>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</si>
  <si>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</si>
  <si>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</si>
  <si>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</si>
  <si>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</si>
  <si>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</si>
  <si>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</si>
  <si>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</si>
  <si>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</si>
  <si>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</si>
  <si>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</si>
  <si>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</si>
  <si>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</si>
  <si>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</si>
  <si>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</si>
  <si>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</si>
  <si>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</si>
  <si>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</si>
  <si>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</si>
  <si>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</si>
  <si>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</si>
  <si>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</si>
  <si>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</si>
  <si>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</si>
  <si>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</si>
  <si>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</si>
  <si>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</si>
  <si>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</si>
  <si>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</si>
  <si>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</si>
  <si>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</si>
  <si>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</si>
  <si>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</si>
  <si>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</si>
  <si>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</si>
  <si>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</si>
  <si>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</si>
  <si>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</si>
  <si>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</si>
  <si>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</si>
  <si>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</si>
  <si>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</si>
  <si>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</si>
  <si>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</si>
  <si>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</si>
  <si>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</si>
  <si>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</si>
  <si>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</si>
  <si>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</si>
  <si>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</si>
  <si>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</si>
  <si>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</si>
  <si>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</si>
  <si>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</si>
  <si>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</si>
  <si>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</si>
  <si>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</si>
  <si>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</si>
  <si>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</si>
  <si>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</si>
  <si>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</si>
  <si>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</si>
  <si>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</si>
  <si>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</si>
  <si>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</si>
  <si>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</si>
  <si>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</si>
  <si>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</si>
  <si>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</si>
  <si>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</si>
  <si>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</si>
  <si>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</si>
  <si>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</si>
  <si>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</si>
  <si>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</si>
  <si>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</si>
  <si>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</si>
  <si>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</si>
  <si>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</si>
  <si>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</si>
  <si>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</si>
  <si>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</si>
  <si>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</si>
  <si>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</si>
  <si>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</si>
  <si>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</si>
  <si>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</si>
  <si>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</si>
  <si>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</si>
  <si>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</si>
  <si>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</si>
  <si>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</si>
  <si>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</si>
  <si>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</si>
  <si>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</si>
  <si>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</si>
  <si>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</si>
  <si>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</si>
  <si>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</si>
  <si>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</si>
  <si>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</si>
  <si>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</si>
  <si>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</si>
  <si>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</si>
  <si>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</si>
  <si>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</si>
  <si>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</si>
  <si>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</si>
  <si>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</si>
  <si>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</si>
  <si>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</si>
  <si>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</si>
  <si>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</si>
  <si>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</si>
  <si>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</si>
  <si>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</si>
  <si>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</si>
  <si>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</si>
  <si>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</si>
  <si>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</si>
  <si>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</si>
  <si>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</si>
  <si>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</si>
  <si>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</si>
  <si>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</si>
  <si>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</si>
  <si>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</si>
  <si>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</si>
  <si>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</si>
  <si>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</si>
  <si>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</si>
  <si>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</si>
  <si>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</si>
  <si>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</si>
  <si>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</si>
  <si>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</si>
  <si>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</si>
  <si>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</si>
  <si>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</si>
  <si>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</si>
  <si>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</si>
  <si>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</si>
  <si>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</si>
  <si>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</si>
  <si>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</si>
  <si>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</si>
  <si>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</si>
  <si>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</si>
  <si>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</si>
  <si>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</si>
  <si>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</si>
  <si>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</si>
  <si>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</si>
  <si>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</si>
  <si>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</si>
  <si>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</si>
  <si>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</si>
  <si>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</si>
  <si>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</si>
  <si>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</si>
  <si>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</si>
  <si>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</si>
  <si>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</si>
  <si>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</si>
  <si>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</si>
  <si>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</si>
  <si>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</si>
  <si>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</si>
  <si>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</si>
  <si>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</si>
  <si>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</si>
  <si>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</si>
  <si>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</si>
  <si>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</si>
  <si>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</si>
  <si>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</si>
  <si>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</si>
  <si>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</si>
  <si>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</si>
  <si>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</si>
  <si>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</si>
  <si>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</si>
  <si>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</si>
  <si>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</si>
  <si>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</si>
  <si>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</si>
  <si>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</si>
  <si>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</si>
  <si>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</si>
  <si>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</si>
  <si>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</si>
  <si>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</si>
  <si>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</si>
  <si>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</si>
  <si>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</si>
  <si>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</si>
  <si>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</si>
  <si>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</si>
  <si>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</si>
  <si>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</si>
  <si>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</si>
  <si>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</si>
  <si>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</si>
  <si>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</si>
  <si>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</si>
  <si>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</si>
  <si>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</si>
  <si>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</si>
  <si>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</si>
  <si>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</si>
  <si>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</si>
  <si>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</si>
  <si>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</si>
  <si>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</si>
  <si>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</si>
  <si>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</si>
  <si>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</si>
  <si>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</si>
  <si>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</si>
  <si>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</si>
  <si>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</si>
  <si>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</si>
  <si>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</si>
  <si>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</si>
  <si>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</si>
  <si>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</si>
  <si>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</si>
  <si>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</si>
  <si>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</si>
  <si>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</si>
  <si>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</si>
  <si>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</si>
  <si>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</si>
  <si>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</si>
  <si>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</si>
  <si>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</si>
  <si>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</si>
  <si>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</si>
  <si>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</si>
  <si>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</si>
  <si>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</si>
  <si>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</si>
  <si>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</si>
  <si>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</si>
  <si>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</si>
  <si>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</si>
  <si>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</si>
  <si>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</si>
  <si>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</si>
  <si>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</si>
  <si>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</si>
  <si>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</si>
  <si>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</si>
  <si>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</si>
  <si>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</si>
  <si>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</si>
  <si>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</si>
  <si>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</si>
  <si>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</si>
  <si>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</si>
  <si>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</si>
  <si>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</si>
  <si>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</si>
  <si>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</si>
  <si>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</si>
  <si>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</si>
  <si>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</si>
  <si>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</si>
  <si>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</si>
  <si>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</si>
  <si>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</si>
  <si>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</si>
  <si>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</si>
  <si>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</si>
  <si>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</si>
  <si>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</si>
  <si>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</si>
  <si>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</si>
  <si>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</si>
  <si>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</si>
  <si>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</si>
  <si>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</si>
  <si>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</si>
  <si>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</si>
  <si>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</si>
  <si>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</si>
  <si>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</si>
  <si>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</si>
  <si>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</si>
  <si>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</si>
  <si>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</si>
  <si>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</si>
  <si>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</si>
  <si>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</si>
  <si>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</si>
  <si>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</si>
  <si>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</si>
  <si>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</si>
  <si>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</si>
  <si>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</si>
  <si>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</si>
  <si>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</si>
  <si>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</si>
  <si>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</si>
  <si>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</si>
  <si>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</si>
  <si>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</si>
  <si>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</si>
  <si>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</si>
  <si>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</si>
  <si>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</si>
  <si>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</si>
  <si>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</si>
  <si>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</si>
  <si>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</si>
  <si>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</si>
  <si>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</si>
  <si>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</si>
  <si>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</si>
  <si>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</si>
  <si>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</si>
  <si>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</si>
  <si>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</si>
  <si>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</si>
  <si>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</si>
  <si>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</si>
  <si>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</si>
  <si>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</si>
  <si>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</si>
  <si>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</si>
  <si>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</si>
  <si>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</si>
  <si>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</si>
  <si>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</si>
  <si>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</si>
  <si>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</si>
  <si>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</si>
  <si>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</si>
  <si>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</si>
  <si>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</si>
  <si>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</si>
  <si>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</si>
  <si>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</si>
  <si>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</si>
  <si>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</si>
  <si>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Parent 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</si>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</sst>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Font="1"/>
    <xf numFmtId="0" fontId="1" fillId="0" borderId="0" xfId="0" applyFont="1" applyAlignment="1">
      <alignment horizontal="left" vertical="center"/>
    </xf>
    <xf numFmtId="166" fontId="0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C9-CE44-AEE6-A5FBFD83506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C9-CE44-AEE6-A5FBFD83506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C9-CE44-AEE6-A5FBFD835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9023"/>
        <c:axId val="6859823"/>
      </c:lineChart>
      <c:catAx>
        <c:axId val="671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823"/>
        <c:crosses val="autoZero"/>
        <c:auto val="1"/>
        <c:lblAlgn val="ctr"/>
        <c:lblOffset val="100"/>
        <c:noMultiLvlLbl val="0"/>
      </c:catAx>
      <c:valAx>
        <c:axId val="685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 Launch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FD-0D47-AB39-6291916C278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D-0D47-AB39-6291916C278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FD-0D47-AB39-6291916C2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385711"/>
        <c:axId val="137585567"/>
      </c:lineChart>
      <c:catAx>
        <c:axId val="13738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85567"/>
        <c:crosses val="autoZero"/>
        <c:auto val="1"/>
        <c:lblAlgn val="ctr"/>
        <c:lblOffset val="100"/>
        <c:noMultiLvlLbl val="0"/>
      </c:catAx>
      <c:valAx>
        <c:axId val="13758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8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B-174F-98D0-B06BA41FF55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A4B-174F-98D0-B06BA41FF55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A4B-174F-98D0-B06BA41FF55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A4B-174F-98D0-B06BA41FF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4171231"/>
        <c:axId val="1922267376"/>
      </c:barChart>
      <c:catAx>
        <c:axId val="160417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267376"/>
        <c:crosses val="autoZero"/>
        <c:auto val="1"/>
        <c:lblAlgn val="ctr"/>
        <c:lblOffset val="100"/>
        <c:noMultiLvlLbl val="0"/>
      </c:catAx>
      <c:valAx>
        <c:axId val="192226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17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[Kickstarter_Challenge_1.xlsx]Subcategory Statistics!PivotTable6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3-9A44-A247-B13232593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129503"/>
        <c:axId val="1541051503"/>
      </c:barChart>
      <c:catAx>
        <c:axId val="212312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051503"/>
        <c:crosses val="autoZero"/>
        <c:auto val="1"/>
        <c:lblAlgn val="ctr"/>
        <c:lblOffset val="100"/>
        <c:noMultiLvlLbl val="0"/>
      </c:catAx>
      <c:valAx>
        <c:axId val="154105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12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F-D04A-B875-C88417F236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2BF-D04A-B875-C88417F2366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2BF-D04A-B875-C88417F2366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2BF-D04A-B875-C88417F23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3914367"/>
        <c:axId val="1736753935"/>
      </c:lineChart>
      <c:catAx>
        <c:axId val="174391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753935"/>
        <c:crosses val="autoZero"/>
        <c:auto val="1"/>
        <c:lblAlgn val="ctr"/>
        <c:lblOffset val="100"/>
        <c:noMultiLvlLbl val="0"/>
      </c:catAx>
      <c:valAx>
        <c:axId val="173675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91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F913A8A-B1FA-294F-A134-FB23E3617B1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A8F55B0-DCE3-284B-A093-FE7A3F7423C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C636B63-E4C8-8642-AAD9-4B21483C18BF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61751</xdr:colOff>
      <xdr:row>1</xdr:row>
      <xdr:rowOff>3263</xdr:rowOff>
    </xdr:from>
    <xdr:to>
      <xdr:col>18</xdr:col>
      <xdr:colOff>104861</xdr:colOff>
      <xdr:row>23</xdr:row>
      <xdr:rowOff>174771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382E1-6AFF-D59B-8D1D-86CE2B156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3</xdr:row>
      <xdr:rowOff>0</xdr:rowOff>
    </xdr:from>
    <xdr:to>
      <xdr:col>20</xdr:col>
      <xdr:colOff>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46818-5E43-67A2-8299-A72FE6FEA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12700</xdr:rowOff>
    </xdr:from>
    <xdr:to>
      <xdr:col>16</xdr:col>
      <xdr:colOff>12700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F772F-2651-6E68-6324-1472AD026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23</xdr:col>
      <xdr:colOff>0</xdr:colOff>
      <xdr:row>48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E9C5C-E796-DB2E-8A25-FD02DFDDC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20</xdr:col>
      <xdr:colOff>12700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9AD4D-C9C0-C968-B513-3F54BB524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E5D982E-1E65-5FEC-32F1-098812EE3EF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5FE65E3-526C-0912-359C-168AB805A21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ton Walker" refreshedDate="44815.382403587966" createdVersion="8" refreshedVersion="8" minRefreshableVersion="3" recordCount="4115" xr:uid="{25097B92-CD72-F447-90F2-210C214FEAC8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ton Walker" refreshedDate="44815.394888310184" createdVersion="8" refreshedVersion="8" minRefreshableVersion="3" recordCount="4115" xr:uid="{F535E1E1-96B2-6A40-891B-358380CEA178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5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ton Walker" refreshedDate="44815.49318391204" createdVersion="8" refreshedVersion="8" minRefreshableVersion="3" recordCount="4116" xr:uid="{AE82E1A7-C2EE-8245-A86C-56C806626139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 count="4094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  <m/>
      </sharedItems>
      <fieldGroup par="24" base="19">
        <rangePr groupBy="months" startDate="1970-01-01T00:00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1970-01-01T00:00:00" endDate="2017-05-03T19:12:00"/>
        <groupItems count="6">
          <s v="&lt;1/1/70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1970-01-01T00:00:00" endDate="2017-05-03T19:12:00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e v="#DIV/0!"/>
    <s v="N/A"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x v="21"/>
    <m/>
    <m/>
    <m/>
    <m/>
    <m/>
    <m/>
    <m/>
    <e v="#DIV/0!"/>
    <s v="N/A"/>
    <x v="9"/>
    <x v="41"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e v="#DIV/0!"/>
    <s v="N/A"/>
    <x v="9"/>
    <m/>
    <x v="4114"/>
    <x v="4092"/>
    <x v="9"/>
  </r>
  <r>
    <m/>
    <m/>
    <m/>
    <m/>
    <m/>
    <x v="4"/>
    <m/>
    <m/>
    <m/>
    <m/>
    <m/>
    <m/>
    <m/>
    <m/>
    <m/>
    <m/>
    <x v="9"/>
    <m/>
    <x v="4115"/>
    <x v="4093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3E1E10-A3E0-CF42-8AF1-8B2F453125A6}" name="PivotTable8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C813B-6567-3744-8EA8-1E062DEA5FFB}" name="PivotTable4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801B37-DA13-294C-9D9B-5889E7087F76}" name="PivotTable6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C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1"/>
        <item x="2"/>
        <item h="1" x="3"/>
        <item h="1"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1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0A33F4-2141-8342-915F-3FFBE5309A3A}" name="PivotTable5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Normal="100" workbookViewId="0">
      <selection activeCell="F127" sqref="F12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IFERROR(ROUND(E2/L2,2),"N/A")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IFERROR(ROUND(E3/L3,2),"N/A")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IFERROR(ROUND(E67/L67,2),"N/A")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N/A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N/A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str">
        <f t="shared" ref="P131:P194" si="11">IFERROR(ROUND(E131/L131,2),"N/A")</f>
        <v>N/A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N/A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N/A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N/A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N/A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N/A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N/A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N/A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N/A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N/A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N/A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N/A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N/A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N/A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N/A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N/A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N/A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N/A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N/A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N/A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N/A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N/A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str">
        <f t="shared" ref="P195:P258" si="16">IFERROR(ROUND(E195/L195,2),"N/A")</f>
        <v>N/A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N/A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N/A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N/A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N/A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N/A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N/A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N/A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N/A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N/A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N/A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N/A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N/A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N/A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N/A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N/A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N/A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N/A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N/A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IFERROR(ROUND(E259/L259,2),"N/A")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IFERROR(ROUND(E323/L323,2),"N/A")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IFERROR(ROUND(E387/L387,2),"N/A")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N/A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N/A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N/A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N/A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N/A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N/A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N/A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IFERROR(ROUND(E451/L451,2),"N/A")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N/A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N/A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N/A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N/A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N/A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N/A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N/A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N/A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N/A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N/A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N/A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N/A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N/A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N/A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N/A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N/A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N/A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N/A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IFERROR(ROUND(E515/L515,2),"N/A")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N/A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N/A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N/A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N/A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N/A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N/A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N/A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N/A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N/A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N/A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IFERROR(ROUND(E579/L579,2),"N/A")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N/A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N/A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N/A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N/A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N/A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N/A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N/A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N/A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N/A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N/A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N/A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N/A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N/A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N/A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N/A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N/A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N/A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N/A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N/A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IFERROR(ROUND(E643/L643,2),"N/A")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N/A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IFERROR(ROUND(E707/L707,2),"N/A")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N/A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N/A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N/A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N/A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N/A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N/A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str">
        <f t="shared" si="56"/>
        <v>N/A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IFERROR(ROUND(E771/L771,2),"N/A")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N/A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IFERROR(ROUND(E835/L835,2),"N/A")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N/A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N/A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str">
        <f t="shared" ref="P899:P962" si="71">IFERROR(ROUND(E899/L899,2),"N/A")</f>
        <v>N/A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N/A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N/A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N/A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N/A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N/A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N/A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N/A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N/A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N/A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N/A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N/A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N/A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N/A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IFERROR(ROUND(E963/L963,2),"N/A")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N/A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IFERROR(ROUND(E1027/L1027,2),"N/A")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N/A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N/A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N/A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N/A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N/A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N/A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N/A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N/A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N/A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N/A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N/A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N/A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N/A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N/A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N/A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N/A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N/A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IFERROR(ROUND(E1091/L1091,2),"N/A")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N/A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N/A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N/A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N/A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N/A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N/A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N/A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N/A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N/A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N/A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N/A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IFERROR(ROUND(E1155/L1155,2),"N/A")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N/A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N/A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N/A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N/A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N/A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N/A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N/A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IFERROR(ROUND(E1219/L1219,2),"N/A")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N/A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N/A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N/A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N/A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N/A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N/A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N/A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IFERROR(ROUND(E1283/L1283,2),"N/A")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N/A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N/A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N/A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IFERROR(ROUND(E1347/L1347,2),"N/A")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str">
        <f t="shared" ref="P1411:P1474" si="111">IFERROR(ROUND(E1411/L1411,2),"N/A")</f>
        <v>N/A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N/A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N/A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N/A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N/A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N/A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N/A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N/A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N/A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N/A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N/A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N/A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N/A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N/A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N/A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N/A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N/A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N/A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N/A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IFERROR(ROUND(E1475/L1475,2),"N/A")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N/A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N/A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N/A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N/A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N/A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N/A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IFERROR(ROUND(E1539/L1539,2),"N/A")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N/A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N/A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N/A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N/A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N/A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N/A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N/A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N/A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N/A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N/A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N/A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N/A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N/A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N/A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N/A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N/A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IFERROR(ROUND(E1603/L1603,2),"N/A")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IFERROR(ROUND(E1667/L1667,2),"N/A")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N/A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N/A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N/A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N/A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N/A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N/A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N/A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N/A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str">
        <f t="shared" ref="P1731:P1794" si="136">IFERROR(ROUND(E1731/L1731,2),"N/A")</f>
        <v>N/A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N/A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N/A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N/A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N/A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N/A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N/A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IFERROR(ROUND(E1795/L1795,2),"N/A")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N/A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N/A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N/A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IFERROR(ROUND(E1859/L1859,2),"N/A")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N/A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N/A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N/A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N/A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N/A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IFERROR(ROUND(E1923/L1923,2),"N/A")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N/A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IFERROR(ROUND(E1987/L1987,2),"N/A")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N/A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N/A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N/A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N/A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IFERROR(ROUND(E2051/L2051,2),"N/A")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IFERROR(ROUND(E2115/L2115,2),"N/A")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N/A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N/A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IFERROR(ROUND(E2179/L2179,2),"N/A")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IFERROR(ROUND(E2243/L2243,2),"N/A")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IFERROR(ROUND(E2307/L2307,2),"N/A")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N/A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N/A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N/A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N/A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N/A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N/A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N/A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N/A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N/A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N/A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N/A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N/A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N/A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N/A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str">
        <f t="shared" ref="P2371:P2434" si="186">IFERROR(ROUND(E2371/L2371,2),"N/A")</f>
        <v>N/A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N/A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N/A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N/A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N/A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N/A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N/A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N/A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N/A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N/A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N/A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N/A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N/A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N/A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N/A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N/A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N/A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N/A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N/A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N/A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str">
        <f t="shared" ref="P2435:P2498" si="191">IFERROR(ROUND(E2435/L2435,2),"N/A")</f>
        <v>N/A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N/A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N/A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IFERROR(ROUND(E2499/L2499,2),"N/A")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N/A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N/A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N/A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N/A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N/A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N/A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N/A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N/A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N/A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N/A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N/A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str">
        <f t="shared" ref="P2563:P2626" si="201">IFERROR(ROUND(E2563/L2563,2),"N/A")</f>
        <v>N/A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N/A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N/A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N/A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N/A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N/A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N/A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N/A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N/A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N/A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N/A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N/A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N/A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N/A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IFERROR(ROUND(E2627/L2627,2),"N/A")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N/A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N/A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N/A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IFERROR(ROUND(E2691/L2691,2),"N/A")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N/A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N/A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N/A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N/A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IFERROR(ROUND(E2755/L2755,2),"N/A")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N/A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N/A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N/A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N/A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N/A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N/A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IFERROR(ROUND(E2819/L2819,2),"N/A")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N/A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N/A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N/A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N/A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N/A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N/A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N/A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N/A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N/A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N/A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str">
        <f t="shared" ref="P2883:P2946" si="226">IFERROR(ROUND(E2883/L2883,2),"N/A")</f>
        <v>N/A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N/A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N/A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N/A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N/A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str">
        <f t="shared" ref="P2947:P3010" si="231">IFERROR(ROUND(E2947/L2947,2),"N/A")</f>
        <v>N/A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N/A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tr">
        <f t="shared" si="231"/>
        <v>N/A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tr">
        <f t="shared" si="231"/>
        <v>N/A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tr">
        <f t="shared" si="231"/>
        <v>N/A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tr">
        <f t="shared" si="231"/>
        <v>N/A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IFERROR(ROUND(E3011/L3011,2),"N/A")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str">
        <f t="shared" si="236"/>
        <v>N/A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str">
        <f t="shared" si="236"/>
        <v>N/A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str">
        <f t="shared" si="236"/>
        <v>N/A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str">
        <f t="shared" si="236"/>
        <v>N/A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IFERROR(ROUND(E3075/L3075,2),"N/A")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tr">
        <f t="shared" si="241"/>
        <v>N/A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tr">
        <f t="shared" si="241"/>
        <v>N/A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tr">
        <f t="shared" si="241"/>
        <v>N/A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tr">
        <f t="shared" si="241"/>
        <v>N/A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IFERROR(ROUND(E3139/L3139,2),"N/A")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N/A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N/A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str">
        <f t="shared" si="246"/>
        <v>N/A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str">
        <f t="shared" si="246"/>
        <v>N/A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str">
        <f t="shared" si="246"/>
        <v>N/A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IFERROR(ROUND(E3203/L3203,2),"N/A")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N/A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N/A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IFERROR(ROUND(E3267/L3267,2),"N/A")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IFERROR(ROUND(E3331/L3331,2),"N/A")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IFERROR(ROUND(E3395/L3395,2),"N/A")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IFERROR(ROUND(E3459/L3459,2),"N/A")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IFERROR(ROUND(E3523/L3523,2),"N/A")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IFERROR(ROUND(E3587/L3587,2),"N/A")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str">
        <f t="shared" si="281"/>
        <v>N/A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str">
        <f t="shared" si="281"/>
        <v>N/A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str">
        <f t="shared" si="281"/>
        <v>N/A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str">
        <f t="shared" si="281"/>
        <v>N/A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IFERROR(ROUND(E3651/L3651,2),"N/A")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IFERROR(ROUND(E3715/L3715,2),"N/A")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str">
        <f t="shared" si="291"/>
        <v>N/A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str">
        <f t="shared" si="291"/>
        <v>N/A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str">
        <f t="shared" si="291"/>
        <v>N/A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str">
        <f t="shared" si="291"/>
        <v>N/A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IFERROR(ROUND(E3779/L3779,2),"N/A")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str">
        <f t="shared" si="296"/>
        <v>N/A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str">
        <f t="shared" si="296"/>
        <v>N/A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str">
        <f t="shared" si="296"/>
        <v>N/A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str">
        <f t="shared" si="296"/>
        <v>N/A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IFERROR(ROUND(E3843/L3843,2),"N/A")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tr">
        <f t="shared" si="301"/>
        <v>N/A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tr">
        <f t="shared" si="301"/>
        <v>N/A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tr">
        <f t="shared" si="301"/>
        <v>N/A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tr">
        <f t="shared" si="301"/>
        <v>N/A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tr">
        <f t="shared" si="301"/>
        <v>N/A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N/A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tr">
        <f t="shared" si="301"/>
        <v>N/A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tr">
        <f t="shared" si="301"/>
        <v>N/A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tr">
        <f t="shared" si="301"/>
        <v>N/A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tr">
        <f t="shared" si="301"/>
        <v>N/A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tr">
        <f t="shared" si="301"/>
        <v>N/A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N/A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tr">
        <f t="shared" si="301"/>
        <v>N/A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IFERROR(ROUND(E3907/L3907,2),"N/A")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str">
        <f t="shared" si="306"/>
        <v>N/A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str">
        <f t="shared" si="306"/>
        <v>N/A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str">
        <f t="shared" si="306"/>
        <v>N/A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str">
        <f t="shared" si="306"/>
        <v>N/A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tr">
        <f t="shared" si="306"/>
        <v>N/A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str">
        <f t="shared" si="306"/>
        <v>N/A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str">
        <f t="shared" si="306"/>
        <v>N/A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str">
        <f t="shared" si="306"/>
        <v>N/A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str">
        <f t="shared" si="306"/>
        <v>N/A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str">
        <f t="shared" si="306"/>
        <v>N/A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str">
        <f t="shared" si="306"/>
        <v>N/A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str">
        <f t="shared" si="306"/>
        <v>N/A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IFERROR(ROUND(E3971/L3971,2),"N/A")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N/A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str">
        <f t="shared" si="311"/>
        <v>N/A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str">
        <f t="shared" si="311"/>
        <v>N/A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str">
        <f t="shared" si="311"/>
        <v>N/A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str">
        <f t="shared" si="311"/>
        <v>N/A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tr">
        <f t="shared" si="311"/>
        <v>N/A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N/A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tr">
        <f t="shared" si="311"/>
        <v>N/A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tr">
        <f t="shared" si="311"/>
        <v>N/A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IFERROR(ROUND(E4035/L4035,2),"N/A")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tr">
        <f t="shared" si="316"/>
        <v>N/A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tr">
        <f t="shared" si="316"/>
        <v>N/A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str">
        <f t="shared" si="316"/>
        <v>N/A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tr">
        <f t="shared" si="316"/>
        <v>N/A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str">
        <f t="shared" si="316"/>
        <v>N/A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tr">
        <f t="shared" si="316"/>
        <v>N/A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tr">
        <f t="shared" si="316"/>
        <v>N/A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N/A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tr">
        <f t="shared" si="316"/>
        <v>N/A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6" si="320">ROUND(E4099/D4099*100,0)</f>
        <v>0</v>
      </c>
      <c r="P4099" t="str">
        <f t="shared" ref="P4099:P4116" si="321">IFERROR(ROUND(E4099/L4099,2),"N/A")</f>
        <v>N/A</v>
      </c>
      <c r="Q4099" s="10" t="s">
        <v>8315</v>
      </c>
      <c r="R4099" t="s">
        <v>8316</v>
      </c>
      <c r="S4099" s="14">
        <f t="shared" ref="S4099:S4116" si="322">(((J4099/60)/60)/24)+DATE(1970,1,1)</f>
        <v>42344.824502314819</v>
      </c>
      <c r="T4099" s="14">
        <f t="shared" ref="T4099:T4116" si="323">(((I4099/60)/60)/24)+DATE(1970,1,1)</f>
        <v>42400.996527777781</v>
      </c>
      <c r="U4099">
        <f t="shared" ref="U4099:U4116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N/A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N/A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N/A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N/A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  <row r="4116" spans="1:21" x14ac:dyDescent="0.2">
      <c r="O4116" t="e">
        <f t="shared" si="320"/>
        <v>#DIV/0!</v>
      </c>
      <c r="P4116" t="str">
        <f t="shared" si="321"/>
        <v>N/A</v>
      </c>
      <c r="S4116" s="14">
        <f t="shared" si="322"/>
        <v>25569</v>
      </c>
      <c r="T4116" s="14">
        <f t="shared" si="323"/>
        <v>25569</v>
      </c>
      <c r="U4116">
        <f t="shared" si="324"/>
        <v>1970</v>
      </c>
    </row>
  </sheetData>
  <autoFilter ref="A1:T4116" xr:uid="{00000000-0001-0000-0000-000000000000}"/>
  <conditionalFormatting sqref="F1:F1048576">
    <cfRule type="containsText" dxfId="14" priority="2" operator="containsText" text="successful">
      <formula>NOT(ISERROR(SEARCH("successful",F1)))</formula>
    </cfRule>
    <cfRule type="containsText" dxfId="13" priority="3" operator="containsText" text="canceled">
      <formula>NOT(ISERROR(SEARCH("canceled",F1)))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live">
      <formula>NOT(ISERROR(SEARCH("live",F1)))</formula>
    </cfRule>
    <cfRule type="containsText" dxfId="1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D6C79-0634-1848-9CD3-91AEE9051F84}">
  <dimension ref="A1:H13"/>
  <sheetViews>
    <sheetView tabSelected="1" zoomScale="109" workbookViewId="0">
      <selection activeCell="D2" sqref="D2"/>
    </sheetView>
  </sheetViews>
  <sheetFormatPr baseColWidth="10" defaultColWidth="11.5" defaultRowHeight="15" x14ac:dyDescent="0.2"/>
  <cols>
    <col min="1" max="1" width="18.5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8.1640625" bestFit="1" customWidth="1"/>
  </cols>
  <sheetData>
    <row r="1" spans="1:8" s="1" customFormat="1" x14ac:dyDescent="0.2">
      <c r="A1" s="1" t="s">
        <v>8381</v>
      </c>
      <c r="B1" s="1" t="s">
        <v>8397</v>
      </c>
      <c r="C1" s="1" t="s">
        <v>8398</v>
      </c>
      <c r="D1" s="1" t="s">
        <v>8399</v>
      </c>
      <c r="E1" s="1" t="s">
        <v>8400</v>
      </c>
      <c r="F1" s="1" t="s">
        <v>8401</v>
      </c>
      <c r="G1" s="1" t="s">
        <v>8402</v>
      </c>
      <c r="H1" s="1" t="s">
        <v>8403</v>
      </c>
    </row>
    <row r="2" spans="1:8" x14ac:dyDescent="0.2">
      <c r="A2" t="s">
        <v>8404</v>
      </c>
      <c r="B2">
        <f>COUNTIFS(Kickstarter!D:D, "&lt;1000",Kickstarter!F:F, "Successful",Kickstarter!R:R, "plays")</f>
        <v>141</v>
      </c>
      <c r="C2">
        <f>COUNTIFS(Kickstarter!D:D, "&lt;1000",Kickstarter!F:F, "failed",Kickstarter!R:R, "plays")</f>
        <v>45</v>
      </c>
      <c r="D2">
        <f>COUNTIFS(Kickstarter!D:D, "&lt;1000",Kickstarter!F:F, "canceled",Kickstarter!R:R, "plays")</f>
        <v>0</v>
      </c>
      <c r="E2">
        <f>SUM(B2:D2)</f>
        <v>186</v>
      </c>
      <c r="F2">
        <f>B2/E2</f>
        <v>0.75806451612903225</v>
      </c>
      <c r="G2">
        <f>C2/E2</f>
        <v>0.24193548387096775</v>
      </c>
      <c r="H2">
        <f>D2/E2</f>
        <v>0</v>
      </c>
    </row>
    <row r="3" spans="1:8" x14ac:dyDescent="0.2">
      <c r="A3" t="s">
        <v>8405</v>
      </c>
      <c r="B3">
        <f>COUNTIFS(Kickstarter!$D:$D,"&gt;=1000",Kickstarter!$D:$D, "&lt;=4999",Kickstarter!$F:$F,"Successful",Kickstarter!$R:$R,"plays")</f>
        <v>388</v>
      </c>
      <c r="C3">
        <f>COUNTIFS(Kickstarter!$D:$D,"&gt;=1000",Kickstarter!$D:$D, "&lt;=4999",Kickstarter!$F:$F,"failed",Kickstarter!$R:$R,"plays")</f>
        <v>146</v>
      </c>
      <c r="D3">
        <f>COUNTIFS(Kickstarter!$D:$D,"&gt;=1000",Kickstarter!$D:$D, "&lt;4999",Kickstarter!$F:$F,"canceled",Kickstarter!$R:$R,"plays")</f>
        <v>0</v>
      </c>
      <c r="E3">
        <f t="shared" ref="E3:E13" si="0">SUM(B3:D3)</f>
        <v>534</v>
      </c>
      <c r="F3">
        <f t="shared" ref="F3:F13" si="1">B3/E3</f>
        <v>0.72659176029962547</v>
      </c>
      <c r="G3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8406</v>
      </c>
      <c r="B4">
        <f>COUNTIFS(Kickstarter!$D:$D,"&gt;=5000",Kickstarter!$D:$D, "&lt;=9999",Kickstarter!$F:$F,"Successful",Kickstarter!$R:$R,"plays")</f>
        <v>93</v>
      </c>
      <c r="C4">
        <f>COUNTIFS(Kickstarter!$D:$D,"&gt;=5000",Kickstarter!$D:$D, "&lt;=9999",Kickstarter!$F:$F,"failed",Kickstarter!$R:$R,"plays")</f>
        <v>76</v>
      </c>
      <c r="D4">
        <f>COUNTIFS(Kickstarter!$D:$D,"&gt;=5000",Kickstarter!$D:$D, "&lt;9999",Kickstarter!$F:$F,"canceled",Kickstarter!$R:$R,"plays")</f>
        <v>0</v>
      </c>
      <c r="E4">
        <f t="shared" si="0"/>
        <v>169</v>
      </c>
      <c r="F4">
        <f t="shared" si="1"/>
        <v>0.55029585798816572</v>
      </c>
      <c r="G4">
        <f t="shared" si="2"/>
        <v>0.44970414201183434</v>
      </c>
      <c r="H4">
        <f t="shared" si="3"/>
        <v>0</v>
      </c>
    </row>
    <row r="5" spans="1:8" x14ac:dyDescent="0.2">
      <c r="A5" t="s">
        <v>8407</v>
      </c>
      <c r="B5">
        <f>COUNTIFS(Kickstarter!$D:$D,"&gt;=10000",Kickstarter!$D:$D, "&lt;=14999",Kickstarter!$F:$F,"Successful",Kickstarter!$R:$R,"plays")</f>
        <v>39</v>
      </c>
      <c r="C5">
        <f>COUNTIFS(Kickstarter!$D:$D,"&gt;=10000",Kickstarter!$D:$D, "&lt;=14999",Kickstarter!$F:$F,"failed",Kickstarter!$R:$R,"plays")</f>
        <v>33</v>
      </c>
      <c r="D5">
        <f>COUNTIFS(Kickstarter!$D:$D,"&gt;=10000",Kickstarter!$D:$D, "&lt;14999",Kickstarter!$F:$F,"canceled",Kickstarter!$R:$R,"plays")</f>
        <v>0</v>
      </c>
      <c r="E5">
        <f t="shared" si="0"/>
        <v>72</v>
      </c>
      <c r="F5">
        <f t="shared" si="1"/>
        <v>0.54166666666666663</v>
      </c>
      <c r="G5">
        <f t="shared" si="2"/>
        <v>0.45833333333333331</v>
      </c>
      <c r="H5">
        <f t="shared" si="3"/>
        <v>0</v>
      </c>
    </row>
    <row r="6" spans="1:8" x14ac:dyDescent="0.2">
      <c r="A6" t="s">
        <v>8408</v>
      </c>
      <c r="B6">
        <f>COUNTIFS(Kickstarter!$D:$D,"&gt;=15000",Kickstarter!$D:$D, "&lt;=19999",Kickstarter!$F:$F,"Successful",Kickstarter!$R:$R,"plays")</f>
        <v>12</v>
      </c>
      <c r="C6">
        <f>COUNTIFS(Kickstarter!$D:$D,"&gt;=15000",Kickstarter!$D:$D, "&lt;=19999",Kickstarter!$F:$F,"failed",Kickstarter!$R:$R,"plays")</f>
        <v>12</v>
      </c>
      <c r="D6">
        <f>COUNTIFS(Kickstarter!$D:$D,"&gt;=15000",Kickstarter!$D:$D, "&lt;19999",Kickstarter!$F:$F,"canceled",Kickstarter!$R:$R,"plays")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2">
      <c r="A7" t="s">
        <v>8409</v>
      </c>
      <c r="B7">
        <f>COUNTIFS(Kickstarter!$D:$D,"&gt;=20000",Kickstarter!$D:$D, "&lt;=24999",Kickstarter!$F:$F,"Successful",Kickstarter!$R:$R,"plays")</f>
        <v>9</v>
      </c>
      <c r="C7">
        <f>COUNTIFS(Kickstarter!$D:$D,"&gt;=20000",Kickstarter!$D:$D, "&lt;=24999",Kickstarter!$F:$F,"failed",Kickstarter!$R:$R,"plays")</f>
        <v>11</v>
      </c>
      <c r="D7">
        <f>COUNTIFS(Kickstarter!$D:$D,"&gt;=20000",Kickstarter!$D:$D, "&lt;24999",Kickstarter!$F:$F,"canceled",Kickstarter!$R:$R,"plays")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>D7/E7</f>
        <v>0</v>
      </c>
    </row>
    <row r="8" spans="1:8" x14ac:dyDescent="0.2">
      <c r="A8" t="s">
        <v>8410</v>
      </c>
      <c r="B8">
        <f>COUNTIFS(Kickstarter!$D:$D,"&gt;=25000",Kickstarter!$D:$D, "&lt;=29999",Kickstarter!$F:$F,"Successful",Kickstarter!$R:$R,"plays")</f>
        <v>1</v>
      </c>
      <c r="C8">
        <f>COUNTIFS(Kickstarter!$D:$D,"&gt;=25000",Kickstarter!$D:$D, "&lt;=29999",Kickstarter!$F:$F,"failed",Kickstarter!$R:$R,"plays")</f>
        <v>4</v>
      </c>
      <c r="D8">
        <f>COUNTIFS(Kickstarter!$D:$D,"&gt;=25000",Kickstarter!$D:$D, "&lt;29999",Kickstarter!$F:$F,"canceled",Kickstarter!$R:$R,"plays")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 x14ac:dyDescent="0.2">
      <c r="A9" t="s">
        <v>8411</v>
      </c>
      <c r="B9">
        <f>COUNTIFS(Kickstarter!$D:$D,"&gt;=30000",Kickstarter!$D:$D, "&lt;=34999",Kickstarter!$F:$F,"Successful",Kickstarter!$R:$R,"plays")</f>
        <v>3</v>
      </c>
      <c r="C9">
        <f>COUNTIFS(Kickstarter!$D:$D,"&gt;=30000",Kickstarter!$D:$D, "&lt;=34999",Kickstarter!$F:$F,"failed",Kickstarter!$R:$R,"plays")</f>
        <v>8</v>
      </c>
      <c r="D9">
        <f>COUNTIFS(Kickstarter!$D:$D,"&gt;=30000",Kickstarter!$D:$D, "&lt;34999",Kickstarter!$F:$F,"canceled",Kickstarter!$R:$R,"plays")</f>
        <v>0</v>
      </c>
      <c r="E9">
        <f t="shared" si="0"/>
        <v>11</v>
      </c>
      <c r="F9">
        <f t="shared" si="1"/>
        <v>0.27272727272727271</v>
      </c>
      <c r="G9">
        <f t="shared" si="2"/>
        <v>0.72727272727272729</v>
      </c>
      <c r="H9">
        <f t="shared" si="3"/>
        <v>0</v>
      </c>
    </row>
    <row r="10" spans="1:8" x14ac:dyDescent="0.2">
      <c r="A10" t="s">
        <v>8412</v>
      </c>
      <c r="B10">
        <f>COUNTIFS(Kickstarter!$D:$D,"&gt;=35000",Kickstarter!$D:$D, "&lt;=39999",Kickstarter!$F:$F,"Successful",Kickstarter!$R:$R,"plays")</f>
        <v>4</v>
      </c>
      <c r="C10">
        <f>COUNTIFS(Kickstarter!$D:$D,"&gt;=35000",Kickstarter!$D:$D, "&lt;=39999",Kickstarter!$F:$F,"failed",Kickstarter!$R:$R,"plays")</f>
        <v>2</v>
      </c>
      <c r="D10">
        <f>COUNTIFS(Kickstarter!$D:$D,"&gt;=35000",Kickstarter!$D:$D, "&lt;39999",Kickstarter!$F:$F,"canceled",Kickstarter!$R:$R,"plays")</f>
        <v>0</v>
      </c>
      <c r="E10">
        <f t="shared" si="0"/>
        <v>6</v>
      </c>
      <c r="F10">
        <f t="shared" si="1"/>
        <v>0.66666666666666663</v>
      </c>
      <c r="G10">
        <f t="shared" si="2"/>
        <v>0.33333333333333331</v>
      </c>
      <c r="H10">
        <f t="shared" si="3"/>
        <v>0</v>
      </c>
    </row>
    <row r="11" spans="1:8" x14ac:dyDescent="0.2">
      <c r="A11" t="s">
        <v>8413</v>
      </c>
      <c r="B11">
        <f>COUNTIFS(Kickstarter!$D:$D,"&gt;=40000",Kickstarter!$D:$D, "&lt;=44999",Kickstarter!$F:$F,"Successful",Kickstarter!$R:$R,"plays")</f>
        <v>2</v>
      </c>
      <c r="C11">
        <f>COUNTIFS(Kickstarter!$D:$D,"&gt;=40000",Kickstarter!$D:$D, "&lt;=44999",Kickstarter!$F:$F,"failed",Kickstarter!$R:$R,"plays")</f>
        <v>1</v>
      </c>
      <c r="D11">
        <f>COUNTIFS(Kickstarter!$D:$D,"&gt;=40000",Kickstarter!$D:$D, "&lt;44999",Kickstarter!$F:$F,"canceled",Kickstarter!$R:$R,"plays")</f>
        <v>0</v>
      </c>
      <c r="E11">
        <f t="shared" si="0"/>
        <v>3</v>
      </c>
      <c r="F11">
        <f t="shared" si="1"/>
        <v>0.66666666666666663</v>
      </c>
      <c r="G11">
        <f t="shared" si="2"/>
        <v>0.33333333333333331</v>
      </c>
      <c r="H11">
        <f t="shared" si="3"/>
        <v>0</v>
      </c>
    </row>
    <row r="12" spans="1:8" x14ac:dyDescent="0.2">
      <c r="A12" t="s">
        <v>8414</v>
      </c>
      <c r="B12">
        <f>COUNTIFS(Kickstarter!$D:$D,"&gt;=45000",Kickstarter!$D:$D, "&lt;=49999",Kickstarter!$F:$F,"Successful",Kickstarter!$R:$R,"plays")</f>
        <v>0</v>
      </c>
      <c r="C12">
        <f>COUNTIFS(Kickstarter!$D:$D,"&gt;=45000",Kickstarter!$D:$D, "&lt;=49999",Kickstarter!$F:$F,"failed",Kickstarter!$R:$R,"plays")</f>
        <v>1</v>
      </c>
      <c r="D12">
        <f>COUNTIFS(Kickstarter!$D:$D,"&gt;=45000",Kickstarter!$D:$D, "&lt;49999",Kickstarter!$F:$F,"canceled",Kickstarter!$R:$R,"plays")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2">
      <c r="A13" t="s">
        <v>8415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>
        <f t="shared" si="1"/>
        <v>0.125</v>
      </c>
      <c r="G13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F774C-A2CA-5040-8F1D-371329D01C7C}">
  <dimension ref="A1:C14"/>
  <sheetViews>
    <sheetView workbookViewId="0">
      <selection activeCell="B19" sqref="B19"/>
    </sheetView>
  </sheetViews>
  <sheetFormatPr baseColWidth="10" defaultColWidth="11.5" defaultRowHeight="15" x14ac:dyDescent="0.2"/>
  <cols>
    <col min="1" max="1" width="24.6640625" style="21" bestFit="1" customWidth="1"/>
    <col min="2" max="2" width="11.1640625" style="20" bestFit="1" customWidth="1"/>
    <col min="3" max="3" width="15.33203125" bestFit="1" customWidth="1"/>
  </cols>
  <sheetData>
    <row r="1" spans="1:3" s="16" customFormat="1" x14ac:dyDescent="0.2">
      <c r="A1" s="21"/>
      <c r="B1" s="16" t="s">
        <v>8383</v>
      </c>
      <c r="C1" s="16" t="s">
        <v>8384</v>
      </c>
    </row>
    <row r="2" spans="1:3" x14ac:dyDescent="0.2">
      <c r="A2" s="21" t="s">
        <v>8385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">
      <c r="A3" s="21" t="s">
        <v>8386</v>
      </c>
      <c r="B3" s="22">
        <f>MEDIAN('Successful US Kickstarters'!D:D)</f>
        <v>3000</v>
      </c>
      <c r="C3" s="23">
        <f>MEDIAN('Failed US Kickstarters'!D:D)</f>
        <v>5000</v>
      </c>
    </row>
    <row r="4" spans="1:3" x14ac:dyDescent="0.2">
      <c r="A4" s="21" t="s">
        <v>8389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">
      <c r="A5" s="21" t="s">
        <v>8390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2">
      <c r="A6" s="21" t="s">
        <v>8391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">
      <c r="A7" s="21" t="s">
        <v>8392</v>
      </c>
      <c r="B7" s="22">
        <f>B5-B6</f>
        <v>3500</v>
      </c>
      <c r="C7" s="22">
        <f>C5-C6</f>
        <v>8000</v>
      </c>
    </row>
    <row r="8" spans="1:3" x14ac:dyDescent="0.2">
      <c r="B8" s="22"/>
      <c r="C8" s="23"/>
    </row>
    <row r="9" spans="1:3" x14ac:dyDescent="0.2">
      <c r="A9" s="21" t="s">
        <v>8387</v>
      </c>
      <c r="B9" s="22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">
      <c r="A10" s="21" t="s">
        <v>8388</v>
      </c>
      <c r="B10" s="22">
        <f>MEDIAN('Successful US Kickstarters'!E:E)</f>
        <v>3167.5</v>
      </c>
      <c r="C10" s="23">
        <f>MEDIAN('Failed US Kickstarters'!E:E)</f>
        <v>103</v>
      </c>
    </row>
    <row r="11" spans="1:3" x14ac:dyDescent="0.2">
      <c r="A11" s="21" t="s">
        <v>8393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2">
      <c r="A12" s="21" t="s">
        <v>8394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2">
      <c r="A13" s="21" t="s">
        <v>8395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2">
      <c r="A14" s="21" t="s">
        <v>8396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21F53-2162-654B-ABC4-7AFFD5CE9157}">
  <dimension ref="A1:E18"/>
  <sheetViews>
    <sheetView workbookViewId="0">
      <selection activeCell="C26" sqref="C26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5" x14ac:dyDescent="0.2">
      <c r="A1" s="11" t="s">
        <v>8360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8358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2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1D07C-F793-694E-B611-92D5C220D57B}">
  <dimension ref="A1:T413"/>
  <sheetViews>
    <sheetView workbookViewId="0">
      <selection sqref="A1:T413"/>
    </sheetView>
  </sheetViews>
  <sheetFormatPr baseColWidth="10" defaultColWidth="11.5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" t="s">
        <v>8365</v>
      </c>
      <c r="T1" s="1" t="s">
        <v>8366</v>
      </c>
    </row>
    <row r="2" spans="1:20" ht="192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76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192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192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24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192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0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192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192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44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192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192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0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44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60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44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80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60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176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192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192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60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60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0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0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0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192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60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192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192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192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192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0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2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192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176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44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192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0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60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176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192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80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2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160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0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76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76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176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192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192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2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192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160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28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192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44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44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76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192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192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08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44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2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28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192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192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76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60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160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0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96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192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60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76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192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44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2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192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1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2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60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19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176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0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0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60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192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76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0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76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7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60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44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176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76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76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176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28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44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192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0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192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192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192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44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76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192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0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192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60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1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60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24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76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2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60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192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176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76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60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0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0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76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24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44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192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160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192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76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76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192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76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192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176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44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176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176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0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76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9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192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2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76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0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44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2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28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176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0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176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76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192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176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9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0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76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192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192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0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192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0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76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192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176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2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192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0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192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76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192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76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2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0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0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192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192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176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4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192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192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76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60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192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192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24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24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176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192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60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60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76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76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64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7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0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60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96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1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60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192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96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176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192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2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44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19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176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1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4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24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28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192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44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176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192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192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192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0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192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44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192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76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192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96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192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0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60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96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0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60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192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176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0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176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0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76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192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176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60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192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44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9" priority="2" operator="containsText" text="successful">
      <formula>NOT(ISERROR(SEARCH("successful",F1)))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live">
      <formula>NOT(ISERROR(SEARCH("live",F1)))</formula>
    </cfRule>
    <cfRule type="containsText" dxfId="5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A5BC2-E877-F24E-A3A1-4F466F090D18}">
  <dimension ref="A1:T251"/>
  <sheetViews>
    <sheetView workbookViewId="0">
      <selection sqref="A1:T251"/>
    </sheetView>
  </sheetViews>
  <sheetFormatPr baseColWidth="10" defaultColWidth="11.5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" t="s">
        <v>8365</v>
      </c>
      <c r="T1" s="1" t="s">
        <v>8366</v>
      </c>
    </row>
    <row r="2" spans="1:20" ht="20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7235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76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192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7235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76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7235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60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192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176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60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7235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60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0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192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0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76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44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7235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0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76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76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7235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60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192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76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7235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192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0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1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192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7235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176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76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76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7235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192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12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0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192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7235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0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44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192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76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24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192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192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76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176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192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176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44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192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176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0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7235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192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44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192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7235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28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7235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76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7235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44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64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76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192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76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192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8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60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28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0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176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76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192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7235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192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96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76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192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96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0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7235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192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192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192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176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0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7235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64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44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76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76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60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60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176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192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192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0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192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7235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76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76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176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176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7235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176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192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176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7235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44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192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7235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176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1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24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176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60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7235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176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76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7235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192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76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192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44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0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44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176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192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7235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192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76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7235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44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176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60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44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192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60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76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7235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192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192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76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7235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192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7235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176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7235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76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176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7235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192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192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76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192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0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28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76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76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192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192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76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192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76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192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28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0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192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44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192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44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192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76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192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192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176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192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60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0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192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76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192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28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192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192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192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76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4" priority="2" operator="containsText" text="successful">
      <formula>NOT(ISERROR(SEARCH("successful",F1)))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EC40B-311F-BF43-9842-08EF66468FD4}">
  <dimension ref="A1:D6"/>
  <sheetViews>
    <sheetView zoomScaleNormal="100" workbookViewId="0">
      <selection activeCell="D2" sqref="D2:D6"/>
    </sheetView>
  </sheetViews>
  <sheetFormatPr baseColWidth="10" defaultColWidth="11.5" defaultRowHeight="15" x14ac:dyDescent="0.2"/>
  <cols>
    <col min="1" max="1" width="28.6640625" style="17" bestFit="1" customWidth="1"/>
    <col min="2" max="2" width="34" style="19" customWidth="1"/>
  </cols>
  <sheetData>
    <row r="1" spans="1:4" s="1" customFormat="1" ht="16" x14ac:dyDescent="0.2">
      <c r="A1" s="16" t="s">
        <v>8380</v>
      </c>
      <c r="B1" s="18" t="s">
        <v>4110</v>
      </c>
      <c r="C1" s="1" t="s">
        <v>8381</v>
      </c>
      <c r="D1" s="1" t="s">
        <v>8382</v>
      </c>
    </row>
    <row r="2" spans="1:4" ht="64" x14ac:dyDescent="0.2">
      <c r="A2" s="17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64" x14ac:dyDescent="0.2">
      <c r="A3" s="17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64" x14ac:dyDescent="0.2">
      <c r="A4" s="17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48" x14ac:dyDescent="0.2">
      <c r="A5" s="17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64" x14ac:dyDescent="0.2">
      <c r="A6" s="17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B9C6D-AA2F-344D-942E-7B91AB92D0B5}">
  <dimension ref="A1:F6"/>
  <sheetViews>
    <sheetView zoomScale="92" workbookViewId="0">
      <selection activeCell="A3" sqref="A3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6640625" bestFit="1" customWidth="1"/>
    <col min="9" max="9" width="14" bestFit="1" customWidth="1"/>
    <col min="10" max="10" width="15.6640625" bestFit="1" customWidth="1"/>
    <col min="11" max="11" width="14" bestFit="1" customWidth="1"/>
    <col min="12" max="12" width="20" bestFit="1" customWidth="1"/>
    <col min="13" max="13" width="18.332031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8358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64003-92EE-A748-AED3-28BB498E2521}">
  <dimension ref="A1:C7"/>
  <sheetViews>
    <sheetView zoomScale="50" workbookViewId="0">
      <selection activeCell="D44" sqref="D44"/>
    </sheetView>
  </sheetViews>
  <sheetFormatPr baseColWidth="10" defaultColWidth="11.5" defaultRowHeight="15" x14ac:dyDescent="0.2"/>
  <cols>
    <col min="1" max="1" width="16.83203125" bestFit="1" customWidth="1"/>
    <col min="2" max="2" width="17.83203125" bestFit="1" customWidth="1"/>
    <col min="3" max="5" width="10.83203125" bestFit="1" customWidth="1"/>
    <col min="6" max="6" width="7.1640625" bestFit="1" customWidth="1"/>
    <col min="7" max="7" width="10.83203125" bestFit="1" customWidth="1"/>
  </cols>
  <sheetData>
    <row r="1" spans="1:3" x14ac:dyDescent="0.2">
      <c r="A1" s="11" t="s">
        <v>8222</v>
      </c>
      <c r="B1" t="s">
        <v>8223</v>
      </c>
    </row>
    <row r="2" spans="1:3" x14ac:dyDescent="0.2">
      <c r="A2" s="11" t="s">
        <v>8360</v>
      </c>
      <c r="B2" t="s">
        <v>8364</v>
      </c>
    </row>
    <row r="4" spans="1:3" x14ac:dyDescent="0.2">
      <c r="A4" s="11" t="s">
        <v>8363</v>
      </c>
      <c r="B4" s="11" t="s">
        <v>8358</v>
      </c>
    </row>
    <row r="5" spans="1:3" x14ac:dyDescent="0.2">
      <c r="A5" s="11" t="s">
        <v>8362</v>
      </c>
      <c r="B5" t="s">
        <v>8220</v>
      </c>
      <c r="C5" t="s">
        <v>8359</v>
      </c>
    </row>
    <row r="6" spans="1:3" x14ac:dyDescent="0.2">
      <c r="A6" s="12" t="s">
        <v>8316</v>
      </c>
      <c r="B6" s="13">
        <v>250</v>
      </c>
      <c r="C6" s="13">
        <v>250</v>
      </c>
    </row>
    <row r="7" spans="1:3" x14ac:dyDescent="0.2">
      <c r="A7" s="12" t="s">
        <v>8359</v>
      </c>
      <c r="B7" s="13">
        <v>250</v>
      </c>
      <c r="C7" s="13">
        <v>250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4C922-0A3F-FE4F-8052-E87DB7A53B38}">
  <dimension ref="A1:F18"/>
  <sheetViews>
    <sheetView zoomScale="50" workbookViewId="0">
      <selection activeCell="A9" sqref="A9"/>
    </sheetView>
  </sheetViews>
  <sheetFormatPr baseColWidth="10" defaultColWidth="11.5" defaultRowHeight="15" x14ac:dyDescent="0.2"/>
  <cols>
    <col min="1" max="1" width="16.83203125" bestFit="1" customWidth="1"/>
    <col min="2" max="2" width="17.83203125" bestFit="1" customWidth="1"/>
    <col min="3" max="3" width="5.83203125" bestFit="1" customWidth="1"/>
    <col min="4" max="4" width="4.1640625" bestFit="1" customWidth="1"/>
    <col min="5" max="5" width="9.5" bestFit="1" customWidth="1"/>
    <col min="6" max="7" width="10.83203125" bestFit="1" customWidth="1"/>
  </cols>
  <sheetData>
    <row r="1" spans="1:6" x14ac:dyDescent="0.2">
      <c r="A1" s="11" t="s">
        <v>8360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8358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5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Kickstarter</vt:lpstr>
      <vt:lpstr>Outcomes Based on Goals</vt:lpstr>
      <vt:lpstr>Descriptive Statistics</vt:lpstr>
      <vt:lpstr>Theater Outcomes by Launch Date</vt:lpstr>
      <vt:lpstr>Successful US Kickstarters</vt:lpstr>
      <vt:lpstr>Failed US Kickstarters</vt:lpstr>
      <vt:lpstr>Edinburgh Research</vt:lpstr>
      <vt:lpstr>Category Statistics</vt:lpstr>
      <vt:lpstr>Subcategory Statistics</vt:lpstr>
      <vt:lpstr>Outcomes Based on Launch Date</vt:lpstr>
      <vt:lpstr>Box &amp; Whisker of GB Plays</vt:lpstr>
      <vt:lpstr>'Edinburgh Research'!Print_Titles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Ashton Walker</cp:lastModifiedBy>
  <dcterms:created xsi:type="dcterms:W3CDTF">2017-04-20T15:17:24Z</dcterms:created>
  <dcterms:modified xsi:type="dcterms:W3CDTF">2022-09-16T00:36:37Z</dcterms:modified>
</cp:coreProperties>
</file>