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\\wsl$\Ubuntu\home\minstrel\kinetika\project_mayhem\discharge_model\"/>
    </mc:Choice>
  </mc:AlternateContent>
  <xr:revisionPtr revIDLastSave="0" documentId="13_ncr:1_{2E083949-46DE-4B3F-9B9B-21C4EE17249F}" xr6:coauthVersionLast="47" xr6:coauthVersionMax="47" xr10:uidLastSave="{00000000-0000-0000-0000-000000000000}"/>
  <bookViews>
    <workbookView xWindow="38280" yWindow="-120" windowWidth="38640" windowHeight="21120" firstSheet="3" activeTab="3" xr2:uid="{00000000-000D-0000-FFFF-FFFF00000000}"/>
  </bookViews>
  <sheets>
    <sheet name="PRESENTATION" sheetId="17" state="hidden" r:id="rId1"/>
    <sheet name="Reactions (2)" sheetId="16" state="hidden" r:id="rId2"/>
    <sheet name="Backup" sheetId="3" state="hidden" r:id="rId3"/>
    <sheet name="Reactions" sheetId="5" r:id="rId4"/>
    <sheet name="Sheet1" sheetId="29" r:id="rId5"/>
    <sheet name="References" sheetId="27" r:id="rId6"/>
    <sheet name="Sheet2" sheetId="28" r:id="rId7"/>
    <sheet name="NodesDischarge" sheetId="8" state="hidden" r:id="rId8"/>
    <sheet name="EdgesDischarge" sheetId="9" state="hidden" r:id="rId9"/>
    <sheet name="EdgesChemical" sheetId="14" state="hidden" r:id="rId10"/>
    <sheet name="NodesChemical" sheetId="13" state="hidden" r:id="rId11"/>
  </sheets>
  <definedNames>
    <definedName name="_xlnm._FilterDatabase" localSheetId="2" hidden="1">Backup!$A$2:$P$626</definedName>
    <definedName name="_xlnm._FilterDatabase" localSheetId="9" hidden="1">EdgesChemical!$A$1:$E$1</definedName>
    <definedName name="_xlnm._FilterDatabase" localSheetId="8" hidden="1">EdgesDischarge!$A$1:$F$1</definedName>
    <definedName name="_xlnm._FilterDatabase" localSheetId="10" hidden="1">NodesChemical!$A$1:$D$80</definedName>
    <definedName name="_xlnm._FilterDatabase" localSheetId="7" hidden="1">NodesDischarge!$A$1:$C$37</definedName>
    <definedName name="_xlnm._FilterDatabase" localSheetId="0" hidden="1">PRESENTATION!$A$4:$P$67</definedName>
    <definedName name="_xlnm._FilterDatabase" localSheetId="3" hidden="1">Reactions!$A$2:$AD$657</definedName>
    <definedName name="_xlnm._FilterDatabase" localSheetId="1" hidden="1">'Reactions (2)'!$A$4:$P$59</definedName>
    <definedName name="_xlnm._FilterDatabase" localSheetId="6" hidden="1">Sheet2!$G$1:$J$63</definedName>
    <definedName name="E">Reactions!#REF!</definedName>
    <definedName name="Ee" localSheetId="0">PRESENTATION!$G$3</definedName>
    <definedName name="Ee" localSheetId="3">Reactions!$B$1</definedName>
    <definedName name="Ee" localSheetId="1">'Reactions (2)'!$G$3</definedName>
    <definedName name="NM" localSheetId="0">PRESENTATION!$S$9</definedName>
    <definedName name="NM" localSheetId="3">Reactions!$O$1</definedName>
    <definedName name="NM" localSheetId="1">'Reactions (2)'!$S$9</definedName>
    <definedName name="Te" localSheetId="0">PRESENTATION!$S$6</definedName>
    <definedName name="Te" localSheetId="3">Reactions!$F$1</definedName>
    <definedName name="Te" localSheetId="1">'Reactions (2)'!$S$6</definedName>
    <definedName name="Teff">Reactions!$T$1</definedName>
    <definedName name="Tg" localSheetId="0">PRESENTATION!$I$3</definedName>
    <definedName name="Tg" localSheetId="1">'Reactions (2)'!$I$3</definedName>
    <definedName name="Tg">Reactions!$J$1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1" i="5" l="1"/>
  <c r="Y20" i="5"/>
  <c r="Y6" i="5"/>
  <c r="Y8" i="5"/>
  <c r="Y7" i="5"/>
  <c r="Y23" i="5"/>
  <c r="Y18" i="5"/>
  <c r="Y12" i="5"/>
  <c r="Y24" i="5"/>
  <c r="Y4" i="5"/>
  <c r="Y9" i="5"/>
  <c r="Y17" i="5"/>
  <c r="Y13" i="5"/>
  <c r="Y25" i="5"/>
  <c r="Y10" i="5"/>
  <c r="Y16" i="5"/>
  <c r="Y21" i="5"/>
  <c r="Y19" i="5"/>
  <c r="Y11" i="5"/>
  <c r="Y14" i="5"/>
  <c r="Y15" i="5"/>
  <c r="Y5" i="5"/>
  <c r="Y329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227" i="5"/>
  <c r="Y53" i="5"/>
  <c r="Y54" i="5"/>
  <c r="Y55" i="5"/>
  <c r="Y56" i="5"/>
  <c r="Y57" i="5"/>
  <c r="Y58" i="5"/>
  <c r="Y59" i="5"/>
  <c r="Y60" i="5"/>
  <c r="Y61" i="5"/>
  <c r="Y210" i="5"/>
  <c r="Y63" i="5"/>
  <c r="Y64" i="5"/>
  <c r="Y65" i="5"/>
  <c r="Y77" i="5"/>
  <c r="Y67" i="5"/>
  <c r="Y68" i="5"/>
  <c r="Y69" i="5"/>
  <c r="Y70" i="5"/>
  <c r="Y71" i="5"/>
  <c r="Y72" i="5"/>
  <c r="Y73" i="5"/>
  <c r="Y74" i="5"/>
  <c r="Y558" i="5"/>
  <c r="Y76" i="5"/>
  <c r="Y559" i="5"/>
  <c r="Y78" i="5"/>
  <c r="Y79" i="5"/>
  <c r="Y80" i="5"/>
  <c r="Y81" i="5"/>
  <c r="Y201" i="5"/>
  <c r="Y83" i="5"/>
  <c r="Y84" i="5"/>
  <c r="Y85" i="5"/>
  <c r="Y107" i="5"/>
  <c r="Y320" i="5"/>
  <c r="Y104" i="5"/>
  <c r="Y99" i="5"/>
  <c r="Y100" i="5"/>
  <c r="Y96" i="5"/>
  <c r="Y95" i="5"/>
  <c r="Y326" i="5"/>
  <c r="Y327" i="5"/>
  <c r="Y105" i="5"/>
  <c r="Y97" i="5"/>
  <c r="Y560" i="5"/>
  <c r="Y151" i="5"/>
  <c r="Y152" i="5"/>
  <c r="Y323" i="5"/>
  <c r="Y325" i="5"/>
  <c r="Y106" i="5"/>
  <c r="Y98" i="5"/>
  <c r="Y102" i="5"/>
  <c r="Y103" i="5"/>
  <c r="Y94" i="5"/>
  <c r="Y324" i="5"/>
  <c r="Y108" i="5"/>
  <c r="Y109" i="5"/>
  <c r="Y110" i="5"/>
  <c r="Y111" i="5"/>
  <c r="Y112" i="5"/>
  <c r="Y113" i="5"/>
  <c r="Y114" i="5"/>
  <c r="Y115" i="5"/>
  <c r="Y116" i="5"/>
  <c r="Y238" i="5"/>
  <c r="Y209" i="5"/>
  <c r="Y328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77" i="5"/>
  <c r="Y143" i="5"/>
  <c r="Y144" i="5"/>
  <c r="Y145" i="5"/>
  <c r="Y146" i="5"/>
  <c r="Y147" i="5"/>
  <c r="Y148" i="5"/>
  <c r="Y149" i="5"/>
  <c r="Y150" i="5"/>
  <c r="Y119" i="5"/>
  <c r="Y14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82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75" i="5"/>
  <c r="Y194" i="5"/>
  <c r="Y195" i="5"/>
  <c r="Y196" i="5"/>
  <c r="Y197" i="5"/>
  <c r="Y198" i="5"/>
  <c r="Y199" i="5"/>
  <c r="Y200" i="5"/>
  <c r="Y193" i="5"/>
  <c r="Y202" i="5"/>
  <c r="Y203" i="5"/>
  <c r="Y204" i="5"/>
  <c r="Y205" i="5"/>
  <c r="Y206" i="5"/>
  <c r="Y207" i="5"/>
  <c r="Y208" i="5"/>
  <c r="Y117" i="5"/>
  <c r="Y62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118" i="5"/>
  <c r="Y228" i="5"/>
  <c r="Y229" i="5"/>
  <c r="Y230" i="5"/>
  <c r="Y231" i="5"/>
  <c r="Y232" i="5"/>
  <c r="Y233" i="5"/>
  <c r="Y234" i="5"/>
  <c r="Y235" i="5"/>
  <c r="Y236" i="5"/>
  <c r="Y237" i="5"/>
  <c r="Y66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52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57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22" i="5"/>
  <c r="Y26" i="5"/>
  <c r="Y86" i="5"/>
  <c r="Y87" i="5"/>
  <c r="Y88" i="5"/>
  <c r="Y89" i="5"/>
  <c r="Y90" i="5"/>
  <c r="Y93" i="5"/>
  <c r="Y91" i="5"/>
  <c r="Y92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72" i="5"/>
  <c r="Y518" i="5"/>
  <c r="Y563" i="5"/>
  <c r="Y641" i="5"/>
  <c r="Y645" i="5"/>
  <c r="Y633" i="5"/>
  <c r="Y529" i="5"/>
  <c r="Y565" i="5"/>
  <c r="Y525" i="5"/>
  <c r="Y526" i="5"/>
  <c r="Y527" i="5"/>
  <c r="Y528" i="5"/>
  <c r="Y530" i="5"/>
  <c r="Y548" i="5"/>
  <c r="Y607" i="5"/>
  <c r="Y532" i="5"/>
  <c r="Y533" i="5"/>
  <c r="Y534" i="5"/>
  <c r="Y535" i="5"/>
  <c r="Y561" i="5"/>
  <c r="Y550" i="5"/>
  <c r="Y544" i="5"/>
  <c r="Y539" i="5"/>
  <c r="Y540" i="5"/>
  <c r="Y541" i="5"/>
  <c r="Y542" i="5"/>
  <c r="Y519" i="5"/>
  <c r="Y531" i="5"/>
  <c r="Y545" i="5"/>
  <c r="Y546" i="5"/>
  <c r="Y547" i="5"/>
  <c r="Y524" i="5"/>
  <c r="Y549" i="5"/>
  <c r="Y538" i="5"/>
  <c r="Y272" i="5"/>
  <c r="Y552" i="5"/>
  <c r="Y553" i="5"/>
  <c r="Y554" i="5"/>
  <c r="Y555" i="5"/>
  <c r="Y568" i="5"/>
  <c r="Y575" i="5"/>
  <c r="Y571" i="5"/>
  <c r="Y593" i="5"/>
  <c r="Y588" i="5"/>
  <c r="Y590" i="5"/>
  <c r="Y600" i="5"/>
  <c r="Y624" i="5"/>
  <c r="Y556" i="5"/>
  <c r="Y536" i="5"/>
  <c r="Y557" i="5"/>
  <c r="Y321" i="5"/>
  <c r="Y562" i="5"/>
  <c r="Y551" i="5"/>
  <c r="Y615" i="5"/>
  <c r="Y322" i="5"/>
  <c r="Y566" i="5"/>
  <c r="Y636" i="5"/>
  <c r="Y574" i="5"/>
  <c r="Y537" i="5"/>
  <c r="Y576" i="5"/>
  <c r="Y577" i="5"/>
  <c r="Y578" i="5"/>
  <c r="Y579" i="5"/>
  <c r="Y580" i="5"/>
  <c r="Y581" i="5"/>
  <c r="Y582" i="5"/>
  <c r="Y583" i="5"/>
  <c r="Y584" i="5"/>
  <c r="Y585" i="5"/>
  <c r="Y521" i="5"/>
  <c r="Y587" i="5"/>
  <c r="Y523" i="5"/>
  <c r="Y589" i="5"/>
  <c r="Y517" i="5"/>
  <c r="Y591" i="5"/>
  <c r="Y592" i="5"/>
  <c r="Y570" i="5"/>
  <c r="Y594" i="5"/>
  <c r="Y595" i="5"/>
  <c r="Y596" i="5"/>
  <c r="Y597" i="5"/>
  <c r="Y598" i="5"/>
  <c r="Y599" i="5"/>
  <c r="Y617" i="5"/>
  <c r="Y601" i="5"/>
  <c r="Y602" i="5"/>
  <c r="Y642" i="5"/>
  <c r="Y604" i="5"/>
  <c r="Y605" i="5"/>
  <c r="Y567" i="5"/>
  <c r="Y586" i="5"/>
  <c r="Y608" i="5"/>
  <c r="Y609" i="5"/>
  <c r="Y603" i="5"/>
  <c r="Y611" i="5"/>
  <c r="Y612" i="5"/>
  <c r="Y613" i="5"/>
  <c r="Y623" i="5"/>
  <c r="Y522" i="5"/>
  <c r="Y569" i="5"/>
  <c r="Y634" i="5"/>
  <c r="Y564" i="5"/>
  <c r="Y573" i="5"/>
  <c r="Y610" i="5"/>
  <c r="Y621" i="5"/>
  <c r="Y618" i="5"/>
  <c r="Y620" i="5"/>
  <c r="Y647" i="5"/>
  <c r="Y625" i="5"/>
  <c r="Y626" i="5"/>
  <c r="Y619" i="5"/>
  <c r="Y628" i="5"/>
  <c r="Y629" i="5"/>
  <c r="Y630" i="5"/>
  <c r="Y631" i="5"/>
  <c r="Y632" i="5"/>
  <c r="Y543" i="5"/>
  <c r="Y635" i="5"/>
  <c r="Y646" i="5"/>
  <c r="Y643" i="5"/>
  <c r="Y639" i="5"/>
  <c r="Y616" i="5"/>
  <c r="Y520" i="5"/>
  <c r="Y638" i="5"/>
  <c r="Y627" i="5"/>
  <c r="Y606" i="5"/>
  <c r="Y640" i="5"/>
  <c r="Y644" i="5"/>
  <c r="Y614" i="5"/>
  <c r="Y622" i="5"/>
  <c r="Y648" i="5"/>
  <c r="Y637" i="5"/>
  <c r="Y649" i="5"/>
  <c r="Y650" i="5"/>
  <c r="Y651" i="5"/>
  <c r="Y652" i="5"/>
  <c r="Y653" i="5"/>
  <c r="Y654" i="5"/>
  <c r="Y655" i="5"/>
  <c r="Y656" i="5"/>
  <c r="Y657" i="5"/>
  <c r="Y3" i="5"/>
  <c r="Z35" i="5"/>
  <c r="Z36" i="5"/>
  <c r="Z39" i="5"/>
  <c r="Z41" i="5"/>
  <c r="Z44" i="5"/>
  <c r="Z45" i="5"/>
  <c r="Z46" i="5"/>
  <c r="Z47" i="5"/>
  <c r="Z48" i="5"/>
  <c r="Z49" i="5"/>
  <c r="Z50" i="5"/>
  <c r="Z51" i="5"/>
  <c r="Z227" i="5"/>
  <c r="Z53" i="5"/>
  <c r="Z54" i="5"/>
  <c r="Z55" i="5"/>
  <c r="Z56" i="5"/>
  <c r="Z57" i="5"/>
  <c r="Z58" i="5"/>
  <c r="Z60" i="5"/>
  <c r="Z61" i="5"/>
  <c r="Z210" i="5"/>
  <c r="Z64" i="5"/>
  <c r="Z65" i="5"/>
  <c r="Z77" i="5"/>
  <c r="Z67" i="5"/>
  <c r="Z68" i="5"/>
  <c r="Z69" i="5"/>
  <c r="Z70" i="5"/>
  <c r="Z71" i="5"/>
  <c r="Z72" i="5"/>
  <c r="Z73" i="5"/>
  <c r="Z74" i="5"/>
  <c r="Z558" i="5"/>
  <c r="Z76" i="5"/>
  <c r="Z559" i="5"/>
  <c r="Z78" i="5"/>
  <c r="Z79" i="5"/>
  <c r="Z80" i="5"/>
  <c r="Z201" i="5"/>
  <c r="Z83" i="5"/>
  <c r="Z84" i="5"/>
  <c r="Z85" i="5"/>
  <c r="Z104" i="5"/>
  <c r="Z96" i="5"/>
  <c r="Z95" i="5"/>
  <c r="Z326" i="5"/>
  <c r="Z327" i="5"/>
  <c r="Z105" i="5"/>
  <c r="Z97" i="5"/>
  <c r="Z560" i="5"/>
  <c r="Z323" i="5"/>
  <c r="Z325" i="5"/>
  <c r="Z106" i="5"/>
  <c r="Z98" i="5"/>
  <c r="Z102" i="5"/>
  <c r="Z103" i="5"/>
  <c r="Z94" i="5"/>
  <c r="Z324" i="5"/>
  <c r="Z111" i="5"/>
  <c r="Z112" i="5"/>
  <c r="Z113" i="5"/>
  <c r="Z114" i="5"/>
  <c r="Z115" i="5"/>
  <c r="Z116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5" i="5"/>
  <c r="Z136" i="5"/>
  <c r="Z137" i="5"/>
  <c r="Z138" i="5"/>
  <c r="Z139" i="5"/>
  <c r="Z140" i="5"/>
  <c r="Z141" i="5"/>
  <c r="Z177" i="5"/>
  <c r="Z143" i="5"/>
  <c r="Z145" i="5"/>
  <c r="Z146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1" i="5"/>
  <c r="Z172" i="5"/>
  <c r="Z173" i="5"/>
  <c r="Z174" i="5"/>
  <c r="Z175" i="5"/>
  <c r="Z176" i="5"/>
  <c r="Z82" i="5"/>
  <c r="Z179" i="5"/>
  <c r="Z180" i="5"/>
  <c r="Z183" i="5"/>
  <c r="Z184" i="5"/>
  <c r="Z185" i="5"/>
  <c r="Z186" i="5"/>
  <c r="Z189" i="5"/>
  <c r="Z190" i="5"/>
  <c r="Z191" i="5"/>
  <c r="Z192" i="5"/>
  <c r="Z75" i="5"/>
  <c r="Z196" i="5"/>
  <c r="Z197" i="5"/>
  <c r="Z198" i="5"/>
  <c r="Z199" i="5"/>
  <c r="Z200" i="5"/>
  <c r="Z193" i="5"/>
  <c r="Z202" i="5"/>
  <c r="Z203" i="5"/>
  <c r="Z204" i="5"/>
  <c r="Z205" i="5"/>
  <c r="Z206" i="5"/>
  <c r="Z207" i="5"/>
  <c r="Z208" i="5"/>
  <c r="Z117" i="5"/>
  <c r="Z62" i="5"/>
  <c r="Z213" i="5"/>
  <c r="Z214" i="5"/>
  <c r="Z215" i="5"/>
  <c r="Z216" i="5"/>
  <c r="Z217" i="5"/>
  <c r="Z218" i="5"/>
  <c r="Z219" i="5"/>
  <c r="Z220" i="5"/>
  <c r="Z222" i="5"/>
  <c r="Z223" i="5"/>
  <c r="Z224" i="5"/>
  <c r="Z225" i="5"/>
  <c r="Z226" i="5"/>
  <c r="Z118" i="5"/>
  <c r="Z228" i="5"/>
  <c r="Z229" i="5"/>
  <c r="Z230" i="5"/>
  <c r="Z231" i="5"/>
  <c r="Z232" i="5"/>
  <c r="Z233" i="5"/>
  <c r="Z234" i="5"/>
  <c r="Z235" i="5"/>
  <c r="Z236" i="5"/>
  <c r="Z237" i="5"/>
  <c r="Z66" i="5"/>
  <c r="Z239" i="5"/>
  <c r="Z240" i="5"/>
  <c r="Z241" i="5"/>
  <c r="Z242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52" i="5"/>
  <c r="Z258" i="5"/>
  <c r="Z259" i="5"/>
  <c r="Z260" i="5"/>
  <c r="Z261" i="5"/>
  <c r="Z262" i="5"/>
  <c r="Z263" i="5"/>
  <c r="Z264" i="5"/>
  <c r="Z265" i="5"/>
  <c r="Z266" i="5"/>
  <c r="Z267" i="5"/>
  <c r="Z268" i="5"/>
  <c r="Z270" i="5"/>
  <c r="Z271" i="5"/>
  <c r="Z257" i="5"/>
  <c r="Z273" i="5"/>
  <c r="Z274" i="5"/>
  <c r="Z275" i="5"/>
  <c r="Z276" i="5"/>
  <c r="Z277" i="5"/>
  <c r="Z278" i="5"/>
  <c r="Z279" i="5"/>
  <c r="Z280" i="5"/>
  <c r="Z284" i="5"/>
  <c r="Z291" i="5"/>
  <c r="Z294" i="5"/>
  <c r="Z296" i="5"/>
  <c r="Z297" i="5"/>
  <c r="Z299" i="5"/>
  <c r="Z301" i="5"/>
  <c r="Z303" i="5"/>
  <c r="Z305" i="5"/>
  <c r="Z307" i="5"/>
  <c r="Z309" i="5"/>
  <c r="Z310" i="5"/>
  <c r="Z311" i="5"/>
  <c r="Z312" i="5"/>
  <c r="Z313" i="5"/>
  <c r="Z314" i="5"/>
  <c r="Z315" i="5"/>
  <c r="Z316" i="5"/>
  <c r="Z317" i="5"/>
  <c r="Z318" i="5"/>
  <c r="Z319" i="5"/>
  <c r="Z93" i="5"/>
  <c r="Z331" i="5"/>
  <c r="Z333" i="5"/>
  <c r="Z335" i="5"/>
  <c r="Z337" i="5"/>
  <c r="Z338" i="5"/>
  <c r="Z340" i="5"/>
  <c r="Z342" i="5"/>
  <c r="Z344" i="5"/>
  <c r="Z346" i="5"/>
  <c r="Z348" i="5"/>
  <c r="Z350" i="5"/>
  <c r="Z352" i="5"/>
  <c r="Z354" i="5"/>
  <c r="Z356" i="5"/>
  <c r="Z358" i="5"/>
  <c r="Z360" i="5"/>
  <c r="Z362" i="5"/>
  <c r="Z363" i="5"/>
  <c r="Z365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9" i="5"/>
  <c r="Z391" i="5"/>
  <c r="Z393" i="5"/>
  <c r="Z395" i="5"/>
  <c r="Z396" i="5"/>
  <c r="Z398" i="5"/>
  <c r="Z400" i="5"/>
  <c r="Z402" i="5"/>
  <c r="Z404" i="5"/>
  <c r="Z406" i="5"/>
  <c r="Z408" i="5"/>
  <c r="Z410" i="5"/>
  <c r="Z412" i="5"/>
  <c r="Z414" i="5"/>
  <c r="Z416" i="5"/>
  <c r="Z418" i="5"/>
  <c r="Z420" i="5"/>
  <c r="Z421" i="5"/>
  <c r="Z423" i="5"/>
  <c r="Z425" i="5"/>
  <c r="Z433" i="5"/>
  <c r="Z437" i="5"/>
  <c r="Z439" i="5"/>
  <c r="Z441" i="5"/>
  <c r="Z443" i="5"/>
  <c r="Z444" i="5"/>
  <c r="Z446" i="5"/>
  <c r="Z448" i="5"/>
  <c r="Z450" i="5"/>
  <c r="Z452" i="5"/>
  <c r="Z454" i="5"/>
  <c r="Z455" i="5"/>
  <c r="Z456" i="5"/>
  <c r="Z457" i="5"/>
  <c r="Z458" i="5"/>
  <c r="Z459" i="5"/>
  <c r="Z460" i="5"/>
  <c r="Z461" i="5"/>
  <c r="Z462" i="5"/>
  <c r="Z463" i="5"/>
  <c r="Z464" i="5"/>
  <c r="Z466" i="5"/>
  <c r="Z468" i="5"/>
  <c r="Z470" i="5"/>
  <c r="Z472" i="5"/>
  <c r="Z473" i="5"/>
  <c r="Z475" i="5"/>
  <c r="Z477" i="5"/>
  <c r="Z479" i="5"/>
  <c r="Z481" i="5"/>
  <c r="Z483" i="5"/>
  <c r="Z485" i="5"/>
  <c r="Z487" i="5"/>
  <c r="Z489" i="5"/>
  <c r="Z491" i="5"/>
  <c r="Z492" i="5"/>
  <c r="Z494" i="5"/>
  <c r="Z496" i="5"/>
  <c r="Z498" i="5"/>
  <c r="Z500" i="5"/>
  <c r="Z502" i="5"/>
  <c r="Z503" i="5"/>
  <c r="Z504" i="5"/>
  <c r="Z505" i="5"/>
  <c r="Z506" i="5"/>
  <c r="Z507" i="5"/>
  <c r="Z508" i="5"/>
  <c r="Z509" i="5"/>
  <c r="Z510" i="5"/>
  <c r="Z511" i="5"/>
  <c r="Z512" i="5"/>
  <c r="Z516" i="5"/>
  <c r="Z572" i="5"/>
  <c r="Z518" i="5"/>
  <c r="Z645" i="5"/>
  <c r="Z633" i="5"/>
  <c r="Z529" i="5"/>
  <c r="Z526" i="5"/>
  <c r="Z527" i="5"/>
  <c r="Z528" i="5"/>
  <c r="Z530" i="5"/>
  <c r="Z607" i="5"/>
  <c r="Z532" i="5"/>
  <c r="Z533" i="5"/>
  <c r="Z534" i="5"/>
  <c r="Z535" i="5"/>
  <c r="Z561" i="5"/>
  <c r="Z540" i="5"/>
  <c r="Z541" i="5"/>
  <c r="Z542" i="5"/>
  <c r="Z519" i="5"/>
  <c r="Z531" i="5"/>
  <c r="Z546" i="5"/>
  <c r="Z547" i="5"/>
  <c r="Z524" i="5"/>
  <c r="Z549" i="5"/>
  <c r="Z538" i="5"/>
  <c r="Z272" i="5"/>
  <c r="Z552" i="5"/>
  <c r="Z553" i="5"/>
  <c r="Z554" i="5"/>
  <c r="Z555" i="5"/>
  <c r="Z321" i="5"/>
  <c r="Z566" i="5"/>
  <c r="Z537" i="5"/>
  <c r="Z576" i="5"/>
  <c r="Z578" i="5"/>
  <c r="Z579" i="5"/>
  <c r="Z580" i="5"/>
  <c r="Z581" i="5"/>
  <c r="Z582" i="5"/>
  <c r="Z585" i="5"/>
  <c r="Z521" i="5"/>
  <c r="Z587" i="5"/>
  <c r="Z523" i="5"/>
  <c r="Z589" i="5"/>
  <c r="Z517" i="5"/>
  <c r="Z591" i="5"/>
  <c r="Z592" i="5"/>
  <c r="Z570" i="5"/>
  <c r="Z594" i="5"/>
  <c r="Z595" i="5"/>
  <c r="Z596" i="5"/>
  <c r="Z597" i="5"/>
  <c r="Z598" i="5"/>
  <c r="Z573" i="5"/>
  <c r="Z610" i="5"/>
  <c r="Z621" i="5"/>
  <c r="Z630" i="5"/>
  <c r="Z631" i="5"/>
  <c r="Z640" i="5"/>
  <c r="Z614" i="5"/>
  <c r="Z622" i="5"/>
  <c r="Z648" i="5"/>
  <c r="Z637" i="5"/>
  <c r="Z649" i="5"/>
  <c r="Z650" i="5"/>
  <c r="Z651" i="5"/>
  <c r="Z652" i="5"/>
  <c r="Z653" i="5"/>
  <c r="Z654" i="5"/>
  <c r="Z655" i="5"/>
  <c r="Z656" i="5"/>
  <c r="Z657" i="5"/>
  <c r="Z3" i="5"/>
  <c r="O657" i="5"/>
  <c r="O656" i="5"/>
  <c r="O653" i="5"/>
  <c r="O652" i="5"/>
  <c r="H3" i="28"/>
  <c r="I3" i="28"/>
  <c r="J3" i="28"/>
  <c r="H4" i="28"/>
  <c r="I4" i="28"/>
  <c r="J4" i="28"/>
  <c r="H5" i="28"/>
  <c r="I5" i="28"/>
  <c r="J5" i="28"/>
  <c r="H6" i="28"/>
  <c r="I6" i="28"/>
  <c r="J6" i="28"/>
  <c r="H7" i="28"/>
  <c r="I7" i="28"/>
  <c r="J7" i="28"/>
  <c r="H8" i="28"/>
  <c r="I8" i="28"/>
  <c r="J8" i="28"/>
  <c r="H9" i="28"/>
  <c r="I9" i="28"/>
  <c r="J9" i="28"/>
  <c r="H10" i="28"/>
  <c r="I10" i="28"/>
  <c r="J10" i="28"/>
  <c r="H11" i="28"/>
  <c r="I11" i="28"/>
  <c r="J11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H21" i="28"/>
  <c r="I21" i="28"/>
  <c r="J21" i="28"/>
  <c r="H22" i="28"/>
  <c r="I22" i="28"/>
  <c r="J22" i="28"/>
  <c r="H23" i="28"/>
  <c r="I23" i="28"/>
  <c r="J23" i="28"/>
  <c r="H24" i="28"/>
  <c r="I24" i="28"/>
  <c r="J24" i="28"/>
  <c r="H25" i="28"/>
  <c r="I25" i="28"/>
  <c r="J25" i="28"/>
  <c r="H26" i="28"/>
  <c r="I26" i="28"/>
  <c r="J26" i="28"/>
  <c r="H27" i="28"/>
  <c r="I27" i="28"/>
  <c r="J27" i="28"/>
  <c r="H28" i="28"/>
  <c r="I28" i="28"/>
  <c r="J28" i="28"/>
  <c r="H29" i="28"/>
  <c r="I29" i="28"/>
  <c r="J29" i="28"/>
  <c r="H30" i="28"/>
  <c r="I30" i="28"/>
  <c r="J30" i="28"/>
  <c r="H31" i="28"/>
  <c r="I31" i="28"/>
  <c r="J31" i="28"/>
  <c r="H32" i="28"/>
  <c r="I32" i="28"/>
  <c r="J32" i="28"/>
  <c r="H33" i="28"/>
  <c r="I33" i="28"/>
  <c r="J33" i="28"/>
  <c r="H34" i="28"/>
  <c r="I34" i="28"/>
  <c r="J34" i="28"/>
  <c r="H35" i="28"/>
  <c r="I35" i="28"/>
  <c r="J35" i="28"/>
  <c r="H36" i="28"/>
  <c r="I36" i="28"/>
  <c r="J36" i="28"/>
  <c r="H37" i="28"/>
  <c r="I37" i="28"/>
  <c r="J37" i="28"/>
  <c r="H38" i="28"/>
  <c r="I38" i="28"/>
  <c r="J38" i="28"/>
  <c r="H39" i="28"/>
  <c r="I39" i="28"/>
  <c r="J39" i="28"/>
  <c r="H40" i="28"/>
  <c r="I40" i="28"/>
  <c r="J40" i="28"/>
  <c r="H41" i="28"/>
  <c r="I41" i="28"/>
  <c r="J41" i="28"/>
  <c r="H42" i="28"/>
  <c r="I42" i="28"/>
  <c r="J42" i="28"/>
  <c r="H43" i="28"/>
  <c r="I43" i="28"/>
  <c r="J43" i="28"/>
  <c r="H44" i="28"/>
  <c r="I44" i="28"/>
  <c r="J44" i="28"/>
  <c r="H45" i="28"/>
  <c r="I45" i="28"/>
  <c r="J45" i="28"/>
  <c r="H46" i="28"/>
  <c r="I46" i="28"/>
  <c r="J46" i="28"/>
  <c r="H47" i="28"/>
  <c r="I47" i="28"/>
  <c r="J47" i="28"/>
  <c r="H48" i="28"/>
  <c r="I48" i="28"/>
  <c r="J48" i="28"/>
  <c r="H49" i="28"/>
  <c r="I49" i="28"/>
  <c r="J49" i="28"/>
  <c r="H50" i="28"/>
  <c r="I50" i="28"/>
  <c r="J50" i="28"/>
  <c r="H51" i="28"/>
  <c r="I51" i="28"/>
  <c r="J51" i="28"/>
  <c r="H52" i="28"/>
  <c r="I52" i="28"/>
  <c r="J52" i="28"/>
  <c r="H53" i="28"/>
  <c r="I53" i="28"/>
  <c r="J53" i="28"/>
  <c r="H54" i="28"/>
  <c r="I54" i="28"/>
  <c r="J54" i="28"/>
  <c r="H55" i="28"/>
  <c r="I55" i="28"/>
  <c r="J55" i="28"/>
  <c r="H56" i="28"/>
  <c r="I56" i="28"/>
  <c r="J56" i="28"/>
  <c r="H57" i="28"/>
  <c r="I57" i="28"/>
  <c r="J57" i="28"/>
  <c r="H58" i="28"/>
  <c r="I58" i="28"/>
  <c r="J58" i="28"/>
  <c r="H59" i="28"/>
  <c r="I59" i="28"/>
  <c r="J59" i="28"/>
  <c r="H60" i="28"/>
  <c r="I60" i="28"/>
  <c r="J60" i="28"/>
  <c r="H61" i="28"/>
  <c r="I61" i="28"/>
  <c r="J61" i="28"/>
  <c r="H62" i="28"/>
  <c r="I62" i="28"/>
  <c r="J62" i="28"/>
  <c r="H63" i="28"/>
  <c r="I63" i="28"/>
  <c r="J63" i="28"/>
  <c r="J2" i="28"/>
  <c r="I2" i="28"/>
  <c r="H2" i="28"/>
  <c r="O566" i="5"/>
  <c r="O554" i="5"/>
  <c r="W554" i="5"/>
  <c r="V554" i="5"/>
  <c r="O71" i="5"/>
  <c r="O193" i="5"/>
  <c r="O196" i="5"/>
  <c r="W196" i="5"/>
  <c r="V196" i="5"/>
  <c r="O252" i="5"/>
  <c r="W252" i="5"/>
  <c r="V252" i="5"/>
  <c r="O244" i="5"/>
  <c r="W244" i="5"/>
  <c r="V244" i="5"/>
  <c r="O273" i="5"/>
  <c r="W273" i="5"/>
  <c r="V273" i="5"/>
  <c r="O277" i="5"/>
  <c r="O275" i="5"/>
  <c r="O179" i="5"/>
  <c r="W154" i="5"/>
  <c r="V154" i="5"/>
  <c r="O174" i="5"/>
  <c r="O139" i="5"/>
  <c r="W139" i="5"/>
  <c r="V139" i="5"/>
  <c r="O104" i="5"/>
  <c r="W104" i="5"/>
  <c r="V104" i="5"/>
  <c r="O123" i="5"/>
  <c r="W123" i="5"/>
  <c r="V123" i="5"/>
  <c r="W122" i="5"/>
  <c r="V122" i="5"/>
  <c r="O122" i="5"/>
  <c r="O121" i="5"/>
  <c r="W121" i="5"/>
  <c r="V121" i="5"/>
  <c r="W84" i="5"/>
  <c r="V84" i="5"/>
  <c r="O84" i="5"/>
  <c r="O83" i="5"/>
  <c r="W83" i="5"/>
  <c r="V83" i="5"/>
  <c r="O247" i="5"/>
  <c r="W247" i="5"/>
  <c r="V247" i="5"/>
  <c r="O246" i="5"/>
  <c r="W246" i="5"/>
  <c r="V246" i="5"/>
  <c r="W211" i="5"/>
  <c r="V211" i="5"/>
  <c r="O234" i="5"/>
  <c r="O223" i="5"/>
  <c r="O225" i="5"/>
  <c r="O202" i="5"/>
  <c r="O53" i="5"/>
  <c r="O49" i="5"/>
  <c r="O198" i="5"/>
  <c r="W195" i="5"/>
  <c r="V195" i="5"/>
  <c r="O189" i="5"/>
  <c r="V189" i="5"/>
  <c r="W189" i="5"/>
  <c r="W188" i="5"/>
  <c r="V188" i="5"/>
  <c r="W182" i="5"/>
  <c r="V182" i="5"/>
  <c r="O239" i="5" l="1"/>
  <c r="W239" i="5"/>
  <c r="V239" i="5"/>
  <c r="O240" i="5"/>
  <c r="W240" i="5"/>
  <c r="V240" i="5"/>
  <c r="O140" i="5"/>
  <c r="W140" i="5"/>
  <c r="V140" i="5"/>
  <c r="W145" i="5"/>
  <c r="V145" i="5"/>
  <c r="O145" i="5"/>
  <c r="O137" i="5"/>
  <c r="O143" i="5"/>
  <c r="O228" i="5"/>
  <c r="W100" i="5"/>
  <c r="V100" i="5"/>
  <c r="W152" i="5"/>
  <c r="V152" i="5"/>
  <c r="W320" i="5"/>
  <c r="V320" i="5"/>
  <c r="W148" i="5"/>
  <c r="V148" i="5"/>
  <c r="W142" i="5"/>
  <c r="V142" i="5"/>
  <c r="W150" i="5"/>
  <c r="V150" i="5"/>
  <c r="O171" i="5" l="1"/>
  <c r="O112" i="5"/>
  <c r="O116" i="5"/>
  <c r="O114" i="5"/>
  <c r="O97" i="5"/>
  <c r="O160" i="5"/>
  <c r="O158" i="5"/>
  <c r="W153" i="5"/>
  <c r="V153" i="5"/>
  <c r="O326" i="5"/>
  <c r="O95" i="5"/>
  <c r="O106" i="5"/>
  <c r="O55" i="5"/>
  <c r="W37" i="5"/>
  <c r="V37" i="5"/>
  <c r="O35" i="5"/>
  <c r="O36" i="5"/>
  <c r="W36" i="5"/>
  <c r="V36" i="5"/>
  <c r="W35" i="5"/>
  <c r="V35" i="5"/>
  <c r="O268" i="5" l="1"/>
  <c r="O70" i="5"/>
  <c r="O67" i="5"/>
  <c r="J1" i="5" l="1"/>
  <c r="O211" i="5" l="1"/>
  <c r="Z211" i="5" s="1"/>
  <c r="O120" i="5"/>
  <c r="Z120" i="5" s="1"/>
  <c r="T1" i="5"/>
  <c r="O154" i="5" s="1"/>
  <c r="Z154" i="5" s="1"/>
  <c r="O134" i="5"/>
  <c r="Z134" i="5" s="1"/>
  <c r="O618" i="5"/>
  <c r="Z618" i="5" s="1"/>
  <c r="O599" i="5"/>
  <c r="Z599" i="5" s="1"/>
  <c r="O544" i="5"/>
  <c r="Z544" i="5" s="1"/>
  <c r="O480" i="5"/>
  <c r="Z480" i="5" s="1"/>
  <c r="O431" i="5"/>
  <c r="Z431" i="5" s="1"/>
  <c r="O394" i="5"/>
  <c r="Z394" i="5" s="1"/>
  <c r="O332" i="5"/>
  <c r="Z332" i="5" s="1"/>
  <c r="O290" i="5"/>
  <c r="Z290" i="5" s="1"/>
  <c r="O209" i="5"/>
  <c r="Z209" i="5" s="1"/>
  <c r="O574" i="5"/>
  <c r="Z574" i="5" s="1"/>
  <c r="O525" i="5"/>
  <c r="Z525" i="5" s="1"/>
  <c r="O388" i="5"/>
  <c r="Z388" i="5" s="1"/>
  <c r="O636" i="5"/>
  <c r="Z636" i="5" s="1"/>
  <c r="O427" i="5"/>
  <c r="Z427" i="5" s="1"/>
  <c r="O366" i="5"/>
  <c r="Z366" i="5" s="1"/>
  <c r="O286" i="5"/>
  <c r="Z286" i="5" s="1"/>
  <c r="O623" i="5"/>
  <c r="Z623" i="5" s="1"/>
  <c r="O641" i="5"/>
  <c r="Z641" i="5" s="1"/>
  <c r="O364" i="5"/>
  <c r="Z364" i="5" s="1"/>
  <c r="O361" i="5"/>
  <c r="Z361" i="5" s="1"/>
  <c r="O515" i="5"/>
  <c r="Z515" i="5" s="1"/>
  <c r="O87" i="5"/>
  <c r="Z87" i="5" s="1"/>
  <c r="O611" i="5"/>
  <c r="Z611" i="5" s="1"/>
  <c r="O514" i="5"/>
  <c r="Z514" i="5" s="1"/>
  <c r="O357" i="5"/>
  <c r="Z357" i="5" s="1"/>
  <c r="O536" i="5"/>
  <c r="Z536" i="5" s="1"/>
  <c r="O355" i="5"/>
  <c r="Z355" i="5" s="1"/>
  <c r="O635" i="5"/>
  <c r="Z635" i="5" s="1"/>
  <c r="O415" i="5"/>
  <c r="Z415" i="5" s="1"/>
  <c r="O624" i="5"/>
  <c r="Z624" i="5" s="1"/>
  <c r="O351" i="5"/>
  <c r="Z351" i="5" s="1"/>
  <c r="O632" i="5"/>
  <c r="Z632" i="5" s="1"/>
  <c r="O445" i="5"/>
  <c r="Z445" i="5" s="1"/>
  <c r="O495" i="5"/>
  <c r="Z495" i="5" s="1"/>
  <c r="O347" i="5"/>
  <c r="Z347" i="5" s="1"/>
  <c r="O302" i="5"/>
  <c r="Z302" i="5" s="1"/>
  <c r="O405" i="5"/>
  <c r="Z405" i="5" s="1"/>
  <c r="O341" i="5"/>
  <c r="Z341" i="5" s="1"/>
  <c r="O486" i="5"/>
  <c r="Z486" i="5" s="1"/>
  <c r="O435" i="5"/>
  <c r="Z435" i="5" s="1"/>
  <c r="O144" i="5"/>
  <c r="Z144" i="5" s="1"/>
  <c r="O545" i="5"/>
  <c r="Z545" i="5" s="1"/>
  <c r="O539" i="5"/>
  <c r="Z539" i="5" s="1"/>
  <c r="O292" i="5"/>
  <c r="Z292" i="5" s="1"/>
  <c r="O644" i="5"/>
  <c r="Z644" i="5" s="1"/>
  <c r="O564" i="5"/>
  <c r="Z564" i="5" s="1"/>
  <c r="O583" i="5"/>
  <c r="Z583" i="5" s="1"/>
  <c r="O550" i="5"/>
  <c r="Z550" i="5" s="1"/>
  <c r="O478" i="5"/>
  <c r="Z478" i="5" s="1"/>
  <c r="O430" i="5"/>
  <c r="Z430" i="5" s="1"/>
  <c r="O392" i="5"/>
  <c r="Z392" i="5" s="1"/>
  <c r="O330" i="5"/>
  <c r="Z330" i="5" s="1"/>
  <c r="O289" i="5"/>
  <c r="Z289" i="5" s="1"/>
  <c r="O474" i="5"/>
  <c r="Z474" i="5" s="1"/>
  <c r="O91" i="5"/>
  <c r="Z91" i="5" s="1"/>
  <c r="O638" i="5"/>
  <c r="Z638" i="5" s="1"/>
  <c r="O565" i="5"/>
  <c r="Z565" i="5" s="1"/>
  <c r="O322" i="5"/>
  <c r="Z322" i="5" s="1"/>
  <c r="O426" i="5"/>
  <c r="Z426" i="5" s="1"/>
  <c r="O89" i="5"/>
  <c r="Z89" i="5" s="1"/>
  <c r="O467" i="5"/>
  <c r="Z467" i="5" s="1"/>
  <c r="O88" i="5"/>
  <c r="Z88" i="5" s="1"/>
  <c r="O639" i="5"/>
  <c r="Z639" i="5" s="1"/>
  <c r="O465" i="5"/>
  <c r="Z465" i="5" s="1"/>
  <c r="O359" i="5"/>
  <c r="Z359" i="5" s="1"/>
  <c r="O282" i="5"/>
  <c r="Z282" i="5" s="1"/>
  <c r="O453" i="5"/>
  <c r="Z453" i="5" s="1"/>
  <c r="O86" i="5"/>
  <c r="Z86" i="5" s="1"/>
  <c r="O646" i="5"/>
  <c r="Z646" i="5" s="1"/>
  <c r="O417" i="5"/>
  <c r="Z417" i="5" s="1"/>
  <c r="O501" i="5"/>
  <c r="Z501" i="5" s="1"/>
  <c r="O22" i="5"/>
  <c r="Z22" i="5" s="1"/>
  <c r="O413" i="5"/>
  <c r="Z413" i="5" s="1"/>
  <c r="O600" i="5"/>
  <c r="Z600" i="5" s="1"/>
  <c r="O349" i="5"/>
  <c r="Z349" i="5" s="1"/>
  <c r="O567" i="5"/>
  <c r="Z567" i="5" s="1"/>
  <c r="O409" i="5"/>
  <c r="Z409" i="5" s="1"/>
  <c r="O440" i="5"/>
  <c r="Z440" i="5" s="1"/>
  <c r="O490" i="5"/>
  <c r="Z490" i="5" s="1"/>
  <c r="O488" i="5"/>
  <c r="Z488" i="5" s="1"/>
  <c r="O436" i="5"/>
  <c r="Z436" i="5" s="1"/>
  <c r="O339" i="5"/>
  <c r="Z339" i="5" s="1"/>
  <c r="O601" i="5"/>
  <c r="Z601" i="5" s="1"/>
  <c r="O482" i="5"/>
  <c r="Z482" i="5" s="1"/>
  <c r="O334" i="5"/>
  <c r="Z334" i="5" s="1"/>
  <c r="O328" i="5"/>
  <c r="Z328" i="5" s="1"/>
  <c r="O606" i="5"/>
  <c r="Z606" i="5" s="1"/>
  <c r="O634" i="5"/>
  <c r="Z634" i="5" s="1"/>
  <c r="O577" i="5"/>
  <c r="Z577" i="5" s="1"/>
  <c r="O548" i="5"/>
  <c r="Z548" i="5" s="1"/>
  <c r="O476" i="5"/>
  <c r="Z476" i="5" s="1"/>
  <c r="O429" i="5"/>
  <c r="Z429" i="5" s="1"/>
  <c r="O390" i="5"/>
  <c r="Z390" i="5" s="1"/>
  <c r="O92" i="5"/>
  <c r="Z92" i="5" s="1"/>
  <c r="O288" i="5"/>
  <c r="Z288" i="5" s="1"/>
  <c r="O627" i="5"/>
  <c r="Z627" i="5" s="1"/>
  <c r="O428" i="5"/>
  <c r="Z428" i="5" s="1"/>
  <c r="O287" i="5"/>
  <c r="Z287" i="5" s="1"/>
  <c r="O522" i="5"/>
  <c r="Z522" i="5" s="1"/>
  <c r="O471" i="5"/>
  <c r="Z471" i="5" s="1"/>
  <c r="O90" i="5"/>
  <c r="Z90" i="5" s="1"/>
  <c r="O520" i="5"/>
  <c r="Z520" i="5" s="1"/>
  <c r="O469" i="5"/>
  <c r="Z469" i="5" s="1"/>
  <c r="O285" i="5"/>
  <c r="Z285" i="5" s="1"/>
  <c r="O615" i="5"/>
  <c r="Z615" i="5" s="1"/>
  <c r="O424" i="5"/>
  <c r="Z424" i="5" s="1"/>
  <c r="O283" i="5"/>
  <c r="Z283" i="5" s="1"/>
  <c r="O551" i="5"/>
  <c r="Z551" i="5" s="1"/>
  <c r="O422" i="5"/>
  <c r="Z422" i="5" s="1"/>
  <c r="O419" i="5"/>
  <c r="Z419" i="5" s="1"/>
  <c r="O281" i="5"/>
  <c r="Z281" i="5" s="1"/>
  <c r="O603" i="5"/>
  <c r="Z603" i="5" s="1"/>
  <c r="O451" i="5"/>
  <c r="Z451" i="5" s="1"/>
  <c r="O26" i="5"/>
  <c r="Z26" i="5" s="1"/>
  <c r="O449" i="5"/>
  <c r="Z449" i="5" s="1"/>
  <c r="O353" i="5"/>
  <c r="Z353" i="5" s="1"/>
  <c r="O543" i="5"/>
  <c r="Z543" i="5" s="1"/>
  <c r="O447" i="5"/>
  <c r="Z447" i="5" s="1"/>
  <c r="O308" i="5"/>
  <c r="Z308" i="5" s="1"/>
  <c r="O497" i="5"/>
  <c r="Z497" i="5" s="1"/>
  <c r="O411" i="5"/>
  <c r="Z411" i="5" s="1"/>
  <c r="O629" i="5"/>
  <c r="Z629" i="5" s="1"/>
  <c r="O442" i="5"/>
  <c r="Z442" i="5" s="1"/>
  <c r="O628" i="5"/>
  <c r="Z628" i="5" s="1"/>
  <c r="O345" i="5"/>
  <c r="Z345" i="5" s="1"/>
  <c r="O604" i="5"/>
  <c r="Z604" i="5" s="1"/>
  <c r="O438" i="5"/>
  <c r="Z438" i="5" s="1"/>
  <c r="O300" i="5"/>
  <c r="Z300" i="5" s="1"/>
  <c r="O642" i="5"/>
  <c r="Z642" i="5" s="1"/>
  <c r="O403" i="5"/>
  <c r="Z403" i="5" s="1"/>
  <c r="O295" i="5"/>
  <c r="Z295" i="5" s="1"/>
  <c r="O484" i="5"/>
  <c r="Z484" i="5" s="1"/>
  <c r="O399" i="5"/>
  <c r="Z399" i="5" s="1"/>
  <c r="O617" i="5"/>
  <c r="Z617" i="5" s="1"/>
  <c r="O397" i="5"/>
  <c r="Z397" i="5" s="1"/>
  <c r="O643" i="5"/>
  <c r="Z643" i="5" s="1"/>
  <c r="O212" i="5"/>
  <c r="Z212" i="5" s="1"/>
  <c r="O499" i="5"/>
  <c r="Z499" i="5" s="1"/>
  <c r="O586" i="5"/>
  <c r="Z586" i="5" s="1"/>
  <c r="O306" i="5"/>
  <c r="Z306" i="5" s="1"/>
  <c r="O590" i="5"/>
  <c r="Z590" i="5" s="1"/>
  <c r="O304" i="5"/>
  <c r="Z304" i="5" s="1"/>
  <c r="O493" i="5"/>
  <c r="Z493" i="5" s="1"/>
  <c r="O407" i="5"/>
  <c r="Z407" i="5" s="1"/>
  <c r="O343" i="5"/>
  <c r="Z343" i="5" s="1"/>
  <c r="O298" i="5"/>
  <c r="Z298" i="5" s="1"/>
  <c r="O602" i="5"/>
  <c r="Z602" i="5" s="1"/>
  <c r="O401" i="5"/>
  <c r="Z401" i="5" s="1"/>
  <c r="O647" i="5"/>
  <c r="Z647" i="5" s="1"/>
  <c r="O434" i="5"/>
  <c r="Z434" i="5" s="1"/>
  <c r="O336" i="5"/>
  <c r="Z336" i="5" s="1"/>
  <c r="O293" i="5"/>
  <c r="Z293" i="5" s="1"/>
  <c r="O620" i="5"/>
  <c r="Z620" i="5" s="1"/>
  <c r="O432" i="5"/>
  <c r="Z432" i="5" s="1"/>
  <c r="O155" i="5" l="1"/>
  <c r="Z155" i="5" s="1"/>
  <c r="O153" i="5"/>
  <c r="Z153" i="5" s="1"/>
  <c r="O63" i="5"/>
  <c r="Z63" i="5" s="1"/>
  <c r="O59" i="5"/>
  <c r="Z59" i="5" s="1"/>
  <c r="O238" i="5"/>
  <c r="Z238" i="5" s="1"/>
  <c r="O178" i="5"/>
  <c r="Z178" i="5" s="1"/>
  <c r="O108" i="5"/>
  <c r="Z108" i="5" s="1"/>
  <c r="O48" i="5"/>
  <c r="O81" i="5"/>
  <c r="Z81" i="5" s="1"/>
  <c r="O192" i="5" l="1"/>
  <c r="W269" i="5" l="1"/>
  <c r="V269" i="5"/>
  <c r="O269" i="5"/>
  <c r="Z269" i="5" s="1"/>
  <c r="W81" i="5"/>
  <c r="V81" i="5"/>
  <c r="W69" i="5" l="1"/>
  <c r="V69" i="5"/>
  <c r="W68" i="5"/>
  <c r="V68" i="5"/>
  <c r="O69" i="5" l="1"/>
  <c r="O68" i="5"/>
  <c r="W3" i="5" l="1"/>
  <c r="W101" i="5"/>
  <c r="W20" i="5"/>
  <c r="W6" i="5"/>
  <c r="W8" i="5"/>
  <c r="W7" i="5"/>
  <c r="W23" i="5"/>
  <c r="W18" i="5"/>
  <c r="W12" i="5"/>
  <c r="W24" i="5"/>
  <c r="W4" i="5"/>
  <c r="W9" i="5"/>
  <c r="W17" i="5"/>
  <c r="W13" i="5"/>
  <c r="W25" i="5"/>
  <c r="W10" i="5"/>
  <c r="W16" i="5"/>
  <c r="W21" i="5"/>
  <c r="W19" i="5"/>
  <c r="W11" i="5"/>
  <c r="W14" i="5"/>
  <c r="W15" i="5"/>
  <c r="W5" i="5"/>
  <c r="W329" i="5"/>
  <c r="W27" i="5"/>
  <c r="W28" i="5"/>
  <c r="W29" i="5"/>
  <c r="W30" i="5"/>
  <c r="W31" i="5"/>
  <c r="W32" i="5"/>
  <c r="W33" i="5"/>
  <c r="W34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227" i="5"/>
  <c r="W53" i="5"/>
  <c r="W54" i="5"/>
  <c r="W55" i="5"/>
  <c r="W56" i="5"/>
  <c r="W57" i="5"/>
  <c r="W58" i="5"/>
  <c r="W59" i="5"/>
  <c r="W60" i="5"/>
  <c r="W61" i="5"/>
  <c r="W210" i="5"/>
  <c r="W63" i="5"/>
  <c r="W64" i="5"/>
  <c r="W65" i="5"/>
  <c r="W77" i="5"/>
  <c r="W67" i="5"/>
  <c r="W70" i="5"/>
  <c r="W71" i="5"/>
  <c r="W72" i="5"/>
  <c r="W73" i="5"/>
  <c r="W74" i="5"/>
  <c r="W558" i="5"/>
  <c r="W76" i="5"/>
  <c r="W559" i="5"/>
  <c r="W78" i="5"/>
  <c r="W79" i="5"/>
  <c r="W80" i="5"/>
  <c r="W201" i="5"/>
  <c r="W85" i="5"/>
  <c r="W107" i="5"/>
  <c r="W99" i="5"/>
  <c r="W96" i="5"/>
  <c r="W95" i="5"/>
  <c r="W326" i="5"/>
  <c r="W327" i="5"/>
  <c r="W105" i="5"/>
  <c r="W97" i="5"/>
  <c r="W560" i="5"/>
  <c r="W151" i="5"/>
  <c r="W323" i="5"/>
  <c r="W325" i="5"/>
  <c r="W106" i="5"/>
  <c r="W98" i="5"/>
  <c r="W102" i="5"/>
  <c r="W103" i="5"/>
  <c r="W94" i="5"/>
  <c r="W324" i="5"/>
  <c r="W108" i="5"/>
  <c r="W109" i="5"/>
  <c r="W110" i="5"/>
  <c r="W111" i="5"/>
  <c r="W112" i="5"/>
  <c r="W113" i="5"/>
  <c r="W114" i="5"/>
  <c r="W115" i="5"/>
  <c r="W116" i="5"/>
  <c r="W238" i="5"/>
  <c r="W209" i="5"/>
  <c r="W328" i="5"/>
  <c r="W120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41" i="5"/>
  <c r="W177" i="5"/>
  <c r="W143" i="5"/>
  <c r="W144" i="5"/>
  <c r="W146" i="5"/>
  <c r="W147" i="5"/>
  <c r="W149" i="5"/>
  <c r="W119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82" i="5"/>
  <c r="W178" i="5"/>
  <c r="W179" i="5"/>
  <c r="W180" i="5"/>
  <c r="W181" i="5"/>
  <c r="W183" i="5"/>
  <c r="W184" i="5"/>
  <c r="W185" i="5"/>
  <c r="W186" i="5"/>
  <c r="W187" i="5"/>
  <c r="W190" i="5"/>
  <c r="W191" i="5"/>
  <c r="W192" i="5"/>
  <c r="W75" i="5"/>
  <c r="W194" i="5"/>
  <c r="W197" i="5"/>
  <c r="W198" i="5"/>
  <c r="W199" i="5"/>
  <c r="W200" i="5"/>
  <c r="W193" i="5"/>
  <c r="W202" i="5"/>
  <c r="W203" i="5"/>
  <c r="W204" i="5"/>
  <c r="W205" i="5"/>
  <c r="W206" i="5"/>
  <c r="W207" i="5"/>
  <c r="W208" i="5"/>
  <c r="W117" i="5"/>
  <c r="W62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118" i="5"/>
  <c r="W228" i="5"/>
  <c r="W229" i="5"/>
  <c r="W230" i="5"/>
  <c r="W231" i="5"/>
  <c r="W232" i="5"/>
  <c r="W233" i="5"/>
  <c r="W234" i="5"/>
  <c r="W235" i="5"/>
  <c r="W236" i="5"/>
  <c r="W237" i="5"/>
  <c r="W66" i="5"/>
  <c r="W241" i="5"/>
  <c r="W242" i="5"/>
  <c r="W243" i="5"/>
  <c r="W245" i="5"/>
  <c r="W248" i="5"/>
  <c r="W249" i="5"/>
  <c r="W250" i="5"/>
  <c r="W251" i="5"/>
  <c r="W253" i="5"/>
  <c r="W254" i="5"/>
  <c r="W255" i="5"/>
  <c r="W256" i="5"/>
  <c r="W52" i="5"/>
  <c r="W258" i="5"/>
  <c r="W259" i="5"/>
  <c r="W260" i="5"/>
  <c r="W261" i="5"/>
  <c r="W262" i="5"/>
  <c r="W263" i="5"/>
  <c r="W264" i="5"/>
  <c r="W265" i="5"/>
  <c r="W266" i="5"/>
  <c r="W267" i="5"/>
  <c r="W268" i="5"/>
  <c r="W270" i="5"/>
  <c r="W271" i="5"/>
  <c r="W257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22" i="5"/>
  <c r="W26" i="5"/>
  <c r="W86" i="5"/>
  <c r="W87" i="5"/>
  <c r="W88" i="5"/>
  <c r="W89" i="5"/>
  <c r="W90" i="5"/>
  <c r="W93" i="5"/>
  <c r="W91" i="5"/>
  <c r="W92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72" i="5"/>
  <c r="W518" i="5"/>
  <c r="W563" i="5"/>
  <c r="W641" i="5"/>
  <c r="W645" i="5"/>
  <c r="W633" i="5"/>
  <c r="W529" i="5"/>
  <c r="W565" i="5"/>
  <c r="W525" i="5"/>
  <c r="W526" i="5"/>
  <c r="W527" i="5"/>
  <c r="W528" i="5"/>
  <c r="W530" i="5"/>
  <c r="W548" i="5"/>
  <c r="W607" i="5"/>
  <c r="W532" i="5"/>
  <c r="W533" i="5"/>
  <c r="W534" i="5"/>
  <c r="W535" i="5"/>
  <c r="W561" i="5"/>
  <c r="W550" i="5"/>
  <c r="W544" i="5"/>
  <c r="W539" i="5"/>
  <c r="W540" i="5"/>
  <c r="W541" i="5"/>
  <c r="W542" i="5"/>
  <c r="W519" i="5"/>
  <c r="W531" i="5"/>
  <c r="W545" i="5"/>
  <c r="W546" i="5"/>
  <c r="W547" i="5"/>
  <c r="W524" i="5"/>
  <c r="W549" i="5"/>
  <c r="W538" i="5"/>
  <c r="W272" i="5"/>
  <c r="W552" i="5"/>
  <c r="W553" i="5"/>
  <c r="W555" i="5"/>
  <c r="W568" i="5"/>
  <c r="W575" i="5"/>
  <c r="W571" i="5"/>
  <c r="W593" i="5"/>
  <c r="W588" i="5"/>
  <c r="W590" i="5"/>
  <c r="W600" i="5"/>
  <c r="W624" i="5"/>
  <c r="W556" i="5"/>
  <c r="W536" i="5"/>
  <c r="W557" i="5"/>
  <c r="W321" i="5"/>
  <c r="W562" i="5"/>
  <c r="W551" i="5"/>
  <c r="W615" i="5"/>
  <c r="W322" i="5"/>
  <c r="W566" i="5"/>
  <c r="W636" i="5"/>
  <c r="W574" i="5"/>
  <c r="W537" i="5"/>
  <c r="W576" i="5"/>
  <c r="W577" i="5"/>
  <c r="W578" i="5"/>
  <c r="W579" i="5"/>
  <c r="W580" i="5"/>
  <c r="W581" i="5"/>
  <c r="W582" i="5"/>
  <c r="W583" i="5"/>
  <c r="W584" i="5"/>
  <c r="W585" i="5"/>
  <c r="W521" i="5"/>
  <c r="W587" i="5"/>
  <c r="W523" i="5"/>
  <c r="W589" i="5"/>
  <c r="W517" i="5"/>
  <c r="W591" i="5"/>
  <c r="W592" i="5"/>
  <c r="W570" i="5"/>
  <c r="W594" i="5"/>
  <c r="W595" i="5"/>
  <c r="W596" i="5"/>
  <c r="W597" i="5"/>
  <c r="W598" i="5"/>
  <c r="W599" i="5"/>
  <c r="W617" i="5"/>
  <c r="W601" i="5"/>
  <c r="W602" i="5"/>
  <c r="W642" i="5"/>
  <c r="W604" i="5"/>
  <c r="W605" i="5"/>
  <c r="W567" i="5"/>
  <c r="W586" i="5"/>
  <c r="W608" i="5"/>
  <c r="W609" i="5"/>
  <c r="W603" i="5"/>
  <c r="W611" i="5"/>
  <c r="W612" i="5"/>
  <c r="W613" i="5"/>
  <c r="W623" i="5"/>
  <c r="W522" i="5"/>
  <c r="W569" i="5"/>
  <c r="W634" i="5"/>
  <c r="W564" i="5"/>
  <c r="W573" i="5"/>
  <c r="W610" i="5"/>
  <c r="W621" i="5"/>
  <c r="W618" i="5"/>
  <c r="W620" i="5"/>
  <c r="W647" i="5"/>
  <c r="W625" i="5"/>
  <c r="W626" i="5"/>
  <c r="W619" i="5"/>
  <c r="W628" i="5"/>
  <c r="W629" i="5"/>
  <c r="W630" i="5"/>
  <c r="W631" i="5"/>
  <c r="W632" i="5"/>
  <c r="W543" i="5"/>
  <c r="W635" i="5"/>
  <c r="W646" i="5"/>
  <c r="W643" i="5"/>
  <c r="W639" i="5"/>
  <c r="W616" i="5"/>
  <c r="W520" i="5"/>
  <c r="W638" i="5"/>
  <c r="W627" i="5"/>
  <c r="W606" i="5"/>
  <c r="W640" i="5"/>
  <c r="W644" i="5"/>
  <c r="W614" i="5"/>
  <c r="W622" i="5"/>
  <c r="W648" i="5"/>
  <c r="W637" i="5"/>
  <c r="O79" i="5" l="1"/>
  <c r="V17" i="5" l="1"/>
  <c r="O67" i="17" l="1"/>
  <c r="N67" i="17"/>
  <c r="O66" i="17"/>
  <c r="N66" i="17"/>
  <c r="O65" i="17"/>
  <c r="N65" i="17"/>
  <c r="O74" i="17"/>
  <c r="N74" i="17"/>
  <c r="O73" i="17"/>
  <c r="N73" i="17"/>
  <c r="O23" i="17"/>
  <c r="N23" i="17"/>
  <c r="O22" i="17"/>
  <c r="N22" i="17"/>
  <c r="O72" i="17"/>
  <c r="N72" i="17"/>
  <c r="O71" i="17"/>
  <c r="N71" i="17"/>
  <c r="O64" i="17"/>
  <c r="N64" i="17"/>
  <c r="O63" i="17"/>
  <c r="N63" i="17"/>
  <c r="O62" i="17"/>
  <c r="N62" i="17"/>
  <c r="O61" i="17"/>
  <c r="N61" i="17"/>
  <c r="O60" i="17"/>
  <c r="N60" i="17"/>
  <c r="O59" i="17"/>
  <c r="N59" i="17"/>
  <c r="O58" i="17"/>
  <c r="N58" i="17"/>
  <c r="O57" i="17"/>
  <c r="N57" i="17"/>
  <c r="O56" i="17"/>
  <c r="N56" i="17"/>
  <c r="O52" i="17"/>
  <c r="N52" i="17"/>
  <c r="O51" i="17"/>
  <c r="N51" i="17"/>
  <c r="O50" i="17"/>
  <c r="N50" i="17"/>
  <c r="O49" i="17"/>
  <c r="N49" i="17"/>
  <c r="O48" i="17"/>
  <c r="N48" i="17"/>
  <c r="O47" i="17"/>
  <c r="N47" i="17"/>
  <c r="O46" i="17"/>
  <c r="N46" i="17"/>
  <c r="O45" i="17"/>
  <c r="N45" i="17"/>
  <c r="O41" i="17"/>
  <c r="N41" i="17"/>
  <c r="O40" i="17"/>
  <c r="N40" i="17"/>
  <c r="O39" i="17"/>
  <c r="N39" i="17"/>
  <c r="O38" i="17"/>
  <c r="N38" i="17"/>
  <c r="O37" i="17"/>
  <c r="N37" i="17"/>
  <c r="O36" i="17"/>
  <c r="N36" i="17"/>
  <c r="O35" i="17"/>
  <c r="N35" i="17"/>
  <c r="O34" i="17"/>
  <c r="N34" i="17"/>
  <c r="O33" i="17"/>
  <c r="N33" i="17"/>
  <c r="O32" i="17"/>
  <c r="N32" i="17"/>
  <c r="O31" i="17"/>
  <c r="N31" i="17"/>
  <c r="O27" i="17"/>
  <c r="N27" i="17"/>
  <c r="O26" i="17"/>
  <c r="N26" i="17"/>
  <c r="O25" i="17"/>
  <c r="N25" i="17"/>
  <c r="O24" i="17"/>
  <c r="N24" i="17"/>
  <c r="O21" i="17"/>
  <c r="N21" i="17"/>
  <c r="O20" i="17"/>
  <c r="N20" i="17"/>
  <c r="O19" i="17"/>
  <c r="N19" i="17"/>
  <c r="O18" i="17"/>
  <c r="N18" i="17"/>
  <c r="O17" i="17"/>
  <c r="N17" i="17"/>
  <c r="O13" i="17"/>
  <c r="N13" i="17"/>
  <c r="O12" i="17"/>
  <c r="N12" i="17"/>
  <c r="O11" i="17"/>
  <c r="N11" i="17"/>
  <c r="O10" i="17"/>
  <c r="N10" i="17"/>
  <c r="O9" i="17"/>
  <c r="N9" i="17"/>
  <c r="O8" i="17"/>
  <c r="N8" i="17"/>
  <c r="O7" i="17"/>
  <c r="N7" i="17"/>
  <c r="O6" i="17"/>
  <c r="N6" i="17"/>
  <c r="B6" i="17"/>
  <c r="B7" i="17" s="1"/>
  <c r="O5" i="17"/>
  <c r="N5" i="17"/>
  <c r="D5" i="17"/>
  <c r="B8" i="17" l="1"/>
  <c r="D7" i="17"/>
  <c r="D6" i="17"/>
  <c r="O640" i="5"/>
  <c r="O614" i="5"/>
  <c r="O621" i="5"/>
  <c r="D8" i="17" l="1"/>
  <c r="B9" i="17"/>
  <c r="N6" i="16"/>
  <c r="O6" i="16"/>
  <c r="N7" i="16"/>
  <c r="O7" i="16"/>
  <c r="N8" i="16"/>
  <c r="O8" i="16"/>
  <c r="N9" i="16"/>
  <c r="O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2" i="16"/>
  <c r="O32" i="16"/>
  <c r="N33" i="16"/>
  <c r="O33" i="16"/>
  <c r="N34" i="16"/>
  <c r="O34" i="16"/>
  <c r="N35" i="16"/>
  <c r="O35" i="16"/>
  <c r="N36" i="16"/>
  <c r="O36" i="16"/>
  <c r="N37" i="16"/>
  <c r="O37" i="16"/>
  <c r="N38" i="16"/>
  <c r="O38" i="16"/>
  <c r="N39" i="16"/>
  <c r="O39" i="16"/>
  <c r="N40" i="16"/>
  <c r="O40" i="16"/>
  <c r="N41" i="16"/>
  <c r="O41" i="16"/>
  <c r="N42" i="16"/>
  <c r="O42" i="16"/>
  <c r="N43" i="16"/>
  <c r="O43" i="16"/>
  <c r="N44" i="16"/>
  <c r="O44" i="16"/>
  <c r="N45" i="16"/>
  <c r="O45" i="16"/>
  <c r="N46" i="16"/>
  <c r="O46" i="16"/>
  <c r="N47" i="16"/>
  <c r="O47" i="16"/>
  <c r="N48" i="16"/>
  <c r="O48" i="16"/>
  <c r="N49" i="16"/>
  <c r="O49" i="16"/>
  <c r="N50" i="16"/>
  <c r="O50" i="16"/>
  <c r="N51" i="16"/>
  <c r="O51" i="16"/>
  <c r="N52" i="16"/>
  <c r="O52" i="16"/>
  <c r="N53" i="16"/>
  <c r="O53" i="16"/>
  <c r="N54" i="16"/>
  <c r="O54" i="16"/>
  <c r="N55" i="16"/>
  <c r="O55" i="16"/>
  <c r="N56" i="16"/>
  <c r="O56" i="16"/>
  <c r="N57" i="16"/>
  <c r="O57" i="16"/>
  <c r="N58" i="16"/>
  <c r="O58" i="16"/>
  <c r="N59" i="16"/>
  <c r="O59" i="16"/>
  <c r="O5" i="16"/>
  <c r="N5" i="16"/>
  <c r="B10" i="17" l="1"/>
  <c r="D9" i="17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J2" i="9"/>
  <c r="I3" i="9" s="1"/>
  <c r="G2" i="9"/>
  <c r="V637" i="5"/>
  <c r="O637" i="5"/>
  <c r="V648" i="5"/>
  <c r="O648" i="5"/>
  <c r="V622" i="5"/>
  <c r="O622" i="5"/>
  <c r="V614" i="5"/>
  <c r="V644" i="5"/>
  <c r="V640" i="5"/>
  <c r="V606" i="5"/>
  <c r="V627" i="5"/>
  <c r="V638" i="5"/>
  <c r="V520" i="5"/>
  <c r="V616" i="5"/>
  <c r="V639" i="5"/>
  <c r="V643" i="5"/>
  <c r="V646" i="5"/>
  <c r="V635" i="5"/>
  <c r="V543" i="5"/>
  <c r="V632" i="5"/>
  <c r="V631" i="5"/>
  <c r="O631" i="5"/>
  <c r="V630" i="5"/>
  <c r="O630" i="5"/>
  <c r="V629" i="5"/>
  <c r="V628" i="5"/>
  <c r="V619" i="5"/>
  <c r="V626" i="5"/>
  <c r="V625" i="5"/>
  <c r="V647" i="5"/>
  <c r="V620" i="5"/>
  <c r="V618" i="5"/>
  <c r="V621" i="5"/>
  <c r="V610" i="5"/>
  <c r="O610" i="5"/>
  <c r="V573" i="5"/>
  <c r="O573" i="5"/>
  <c r="V564" i="5"/>
  <c r="V634" i="5"/>
  <c r="V569" i="5"/>
  <c r="V522" i="5"/>
  <c r="V623" i="5"/>
  <c r="V613" i="5"/>
  <c r="V612" i="5"/>
  <c r="V611" i="5"/>
  <c r="V603" i="5"/>
  <c r="V609" i="5"/>
  <c r="V608" i="5"/>
  <c r="V586" i="5"/>
  <c r="V567" i="5"/>
  <c r="V605" i="5"/>
  <c r="V604" i="5"/>
  <c r="V642" i="5"/>
  <c r="V602" i="5"/>
  <c r="V601" i="5"/>
  <c r="V617" i="5"/>
  <c r="V599" i="5"/>
  <c r="V598" i="5"/>
  <c r="O598" i="5"/>
  <c r="V597" i="5"/>
  <c r="O597" i="5"/>
  <c r="V596" i="5"/>
  <c r="O596" i="5"/>
  <c r="V595" i="5"/>
  <c r="O595" i="5"/>
  <c r="V594" i="5"/>
  <c r="O594" i="5"/>
  <c r="V570" i="5"/>
  <c r="O570" i="5"/>
  <c r="V592" i="5"/>
  <c r="O592" i="5"/>
  <c r="V591" i="5"/>
  <c r="O591" i="5"/>
  <c r="V517" i="5"/>
  <c r="O517" i="5"/>
  <c r="V589" i="5"/>
  <c r="O589" i="5"/>
  <c r="V523" i="5"/>
  <c r="O523" i="5"/>
  <c r="V587" i="5"/>
  <c r="O587" i="5"/>
  <c r="V521" i="5"/>
  <c r="O521" i="5"/>
  <c r="V585" i="5"/>
  <c r="O585" i="5"/>
  <c r="V584" i="5"/>
  <c r="V583" i="5"/>
  <c r="V582" i="5"/>
  <c r="O582" i="5"/>
  <c r="V581" i="5"/>
  <c r="O581" i="5"/>
  <c r="V580" i="5"/>
  <c r="O580" i="5"/>
  <c r="V579" i="5"/>
  <c r="O579" i="5"/>
  <c r="V578" i="5"/>
  <c r="O578" i="5"/>
  <c r="V577" i="5"/>
  <c r="V576" i="5"/>
  <c r="O576" i="5"/>
  <c r="V537" i="5"/>
  <c r="O537" i="5"/>
  <c r="V574" i="5"/>
  <c r="V636" i="5"/>
  <c r="V566" i="5"/>
  <c r="V322" i="5"/>
  <c r="V615" i="5"/>
  <c r="V551" i="5"/>
  <c r="V562" i="5"/>
  <c r="V321" i="5"/>
  <c r="O321" i="5"/>
  <c r="V557" i="5"/>
  <c r="V536" i="5"/>
  <c r="V556" i="5"/>
  <c r="V624" i="5"/>
  <c r="V600" i="5"/>
  <c r="V590" i="5"/>
  <c r="V588" i="5"/>
  <c r="V593" i="5"/>
  <c r="V571" i="5"/>
  <c r="V575" i="5"/>
  <c r="V568" i="5"/>
  <c r="V555" i="5"/>
  <c r="O555" i="5"/>
  <c r="V553" i="5"/>
  <c r="O553" i="5"/>
  <c r="V552" i="5"/>
  <c r="O552" i="5"/>
  <c r="V272" i="5"/>
  <c r="O272" i="5"/>
  <c r="V538" i="5"/>
  <c r="O538" i="5"/>
  <c r="V549" i="5"/>
  <c r="O549" i="5"/>
  <c r="V524" i="5"/>
  <c r="O524" i="5"/>
  <c r="V547" i="5"/>
  <c r="O547" i="5"/>
  <c r="V546" i="5"/>
  <c r="O546" i="5"/>
  <c r="V545" i="5"/>
  <c r="V531" i="5"/>
  <c r="O531" i="5"/>
  <c r="V519" i="5"/>
  <c r="O519" i="5"/>
  <c r="V542" i="5"/>
  <c r="O542" i="5"/>
  <c r="V541" i="5"/>
  <c r="O541" i="5"/>
  <c r="V540" i="5"/>
  <c r="O540" i="5"/>
  <c r="V539" i="5"/>
  <c r="V544" i="5"/>
  <c r="V550" i="5"/>
  <c r="V561" i="5"/>
  <c r="O561" i="5"/>
  <c r="V535" i="5"/>
  <c r="O535" i="5"/>
  <c r="V534" i="5"/>
  <c r="O534" i="5"/>
  <c r="V533" i="5"/>
  <c r="O533" i="5"/>
  <c r="V532" i="5"/>
  <c r="O532" i="5"/>
  <c r="V607" i="5"/>
  <c r="O607" i="5"/>
  <c r="V548" i="5"/>
  <c r="V530" i="5"/>
  <c r="O530" i="5"/>
  <c r="V528" i="5"/>
  <c r="O528" i="5"/>
  <c r="V527" i="5"/>
  <c r="O527" i="5"/>
  <c r="V526" i="5"/>
  <c r="O526" i="5"/>
  <c r="V525" i="5"/>
  <c r="V565" i="5"/>
  <c r="V529" i="5"/>
  <c r="O529" i="5"/>
  <c r="V633" i="5"/>
  <c r="O633" i="5"/>
  <c r="V645" i="5"/>
  <c r="O645" i="5"/>
  <c r="V641" i="5"/>
  <c r="V563" i="5"/>
  <c r="V518" i="5"/>
  <c r="O518" i="5"/>
  <c r="V572" i="5"/>
  <c r="O572" i="5"/>
  <c r="V516" i="5"/>
  <c r="O516" i="5"/>
  <c r="V515" i="5"/>
  <c r="V514" i="5"/>
  <c r="V513" i="5"/>
  <c r="V512" i="5"/>
  <c r="O512" i="5"/>
  <c r="V511" i="5"/>
  <c r="O511" i="5"/>
  <c r="V510" i="5"/>
  <c r="O510" i="5"/>
  <c r="V509" i="5"/>
  <c r="O509" i="5"/>
  <c r="V508" i="5"/>
  <c r="O508" i="5"/>
  <c r="V507" i="5"/>
  <c r="O507" i="5"/>
  <c r="V506" i="5"/>
  <c r="O506" i="5"/>
  <c r="V505" i="5"/>
  <c r="O505" i="5"/>
  <c r="V504" i="5"/>
  <c r="O504" i="5"/>
  <c r="V503" i="5"/>
  <c r="O503" i="5"/>
  <c r="V502" i="5"/>
  <c r="O502" i="5"/>
  <c r="V501" i="5"/>
  <c r="V500" i="5"/>
  <c r="O500" i="5"/>
  <c r="V499" i="5"/>
  <c r="V498" i="5"/>
  <c r="O498" i="5"/>
  <c r="V497" i="5"/>
  <c r="V496" i="5"/>
  <c r="O496" i="5"/>
  <c r="V495" i="5"/>
  <c r="V494" i="5"/>
  <c r="O494" i="5"/>
  <c r="V493" i="5"/>
  <c r="V492" i="5"/>
  <c r="O492" i="5"/>
  <c r="V491" i="5"/>
  <c r="O491" i="5"/>
  <c r="V490" i="5"/>
  <c r="V489" i="5"/>
  <c r="O489" i="5"/>
  <c r="V488" i="5"/>
  <c r="V487" i="5"/>
  <c r="O487" i="5"/>
  <c r="V486" i="5"/>
  <c r="V485" i="5"/>
  <c r="O485" i="5"/>
  <c r="V484" i="5"/>
  <c r="V483" i="5"/>
  <c r="O483" i="5"/>
  <c r="V482" i="5"/>
  <c r="V481" i="5"/>
  <c r="O481" i="5"/>
  <c r="V480" i="5"/>
  <c r="V479" i="5"/>
  <c r="O479" i="5"/>
  <c r="V478" i="5"/>
  <c r="V477" i="5"/>
  <c r="O477" i="5"/>
  <c r="V476" i="5"/>
  <c r="V475" i="5"/>
  <c r="O475" i="5"/>
  <c r="V474" i="5"/>
  <c r="V473" i="5"/>
  <c r="O473" i="5"/>
  <c r="V472" i="5"/>
  <c r="O472" i="5"/>
  <c r="V471" i="5"/>
  <c r="V470" i="5"/>
  <c r="O470" i="5"/>
  <c r="V469" i="5"/>
  <c r="V468" i="5"/>
  <c r="O468" i="5"/>
  <c r="V467" i="5"/>
  <c r="V466" i="5"/>
  <c r="O466" i="5"/>
  <c r="V465" i="5"/>
  <c r="V464" i="5"/>
  <c r="O464" i="5"/>
  <c r="V463" i="5"/>
  <c r="O463" i="5"/>
  <c r="V462" i="5"/>
  <c r="O462" i="5"/>
  <c r="V461" i="5"/>
  <c r="O461" i="5"/>
  <c r="V460" i="5"/>
  <c r="O460" i="5"/>
  <c r="V459" i="5"/>
  <c r="O459" i="5"/>
  <c r="V458" i="5"/>
  <c r="O458" i="5"/>
  <c r="V457" i="5"/>
  <c r="O457" i="5"/>
  <c r="V456" i="5"/>
  <c r="O456" i="5"/>
  <c r="V455" i="5"/>
  <c r="O455" i="5"/>
  <c r="V454" i="5"/>
  <c r="O454" i="5"/>
  <c r="V453" i="5"/>
  <c r="V452" i="5"/>
  <c r="O452" i="5"/>
  <c r="V451" i="5"/>
  <c r="V450" i="5"/>
  <c r="O450" i="5"/>
  <c r="V449" i="5"/>
  <c r="V448" i="5"/>
  <c r="O448" i="5"/>
  <c r="V447" i="5"/>
  <c r="V446" i="5"/>
  <c r="O446" i="5"/>
  <c r="V445" i="5"/>
  <c r="V444" i="5"/>
  <c r="O444" i="5"/>
  <c r="V443" i="5"/>
  <c r="O443" i="5"/>
  <c r="V442" i="5"/>
  <c r="V441" i="5"/>
  <c r="O441" i="5"/>
  <c r="V440" i="5"/>
  <c r="V439" i="5"/>
  <c r="O439" i="5"/>
  <c r="V438" i="5"/>
  <c r="V437" i="5"/>
  <c r="O437" i="5"/>
  <c r="V436" i="5"/>
  <c r="V435" i="5"/>
  <c r="V434" i="5"/>
  <c r="V433" i="5"/>
  <c r="O433" i="5"/>
  <c r="V432" i="5"/>
  <c r="V431" i="5"/>
  <c r="V430" i="5"/>
  <c r="V429" i="5"/>
  <c r="V428" i="5"/>
  <c r="V427" i="5"/>
  <c r="V426" i="5"/>
  <c r="V425" i="5"/>
  <c r="O425" i="5"/>
  <c r="V424" i="5"/>
  <c r="V423" i="5"/>
  <c r="O423" i="5"/>
  <c r="V422" i="5"/>
  <c r="V421" i="5"/>
  <c r="O421" i="5"/>
  <c r="V420" i="5"/>
  <c r="O420" i="5"/>
  <c r="V419" i="5"/>
  <c r="V418" i="5"/>
  <c r="O418" i="5"/>
  <c r="V417" i="5"/>
  <c r="V416" i="5"/>
  <c r="O416" i="5"/>
  <c r="V415" i="5"/>
  <c r="V414" i="5"/>
  <c r="O414" i="5"/>
  <c r="V413" i="5"/>
  <c r="V412" i="5"/>
  <c r="O412" i="5"/>
  <c r="V411" i="5"/>
  <c r="V410" i="5"/>
  <c r="O410" i="5"/>
  <c r="V409" i="5"/>
  <c r="V408" i="5"/>
  <c r="O408" i="5"/>
  <c r="V407" i="5"/>
  <c r="V406" i="5"/>
  <c r="O406" i="5"/>
  <c r="V405" i="5"/>
  <c r="V404" i="5"/>
  <c r="O404" i="5"/>
  <c r="V403" i="5"/>
  <c r="V402" i="5"/>
  <c r="O402" i="5"/>
  <c r="V401" i="5"/>
  <c r="V400" i="5"/>
  <c r="O400" i="5"/>
  <c r="V399" i="5"/>
  <c r="V398" i="5"/>
  <c r="O398" i="5"/>
  <c r="V397" i="5"/>
  <c r="V396" i="5"/>
  <c r="O396" i="5"/>
  <c r="V395" i="5"/>
  <c r="O395" i="5"/>
  <c r="V394" i="5"/>
  <c r="V393" i="5"/>
  <c r="O393" i="5"/>
  <c r="V392" i="5"/>
  <c r="V391" i="5"/>
  <c r="O391" i="5"/>
  <c r="V390" i="5"/>
  <c r="V389" i="5"/>
  <c r="O389" i="5"/>
  <c r="V388" i="5"/>
  <c r="V387" i="5"/>
  <c r="O387" i="5"/>
  <c r="V386" i="5"/>
  <c r="O386" i="5"/>
  <c r="V385" i="5"/>
  <c r="O385" i="5"/>
  <c r="V384" i="5"/>
  <c r="O384" i="5"/>
  <c r="V383" i="5"/>
  <c r="O383" i="5"/>
  <c r="V382" i="5"/>
  <c r="O382" i="5"/>
  <c r="V381" i="5"/>
  <c r="O381" i="5"/>
  <c r="V380" i="5"/>
  <c r="O380" i="5"/>
  <c r="V379" i="5"/>
  <c r="O379" i="5"/>
  <c r="V378" i="5"/>
  <c r="O378" i="5"/>
  <c r="V377" i="5"/>
  <c r="O377" i="5"/>
  <c r="V376" i="5"/>
  <c r="O376" i="5"/>
  <c r="V375" i="5"/>
  <c r="O375" i="5"/>
  <c r="V374" i="5"/>
  <c r="O374" i="5"/>
  <c r="V373" i="5"/>
  <c r="O373" i="5"/>
  <c r="V372" i="5"/>
  <c r="O372" i="5"/>
  <c r="V371" i="5"/>
  <c r="O371" i="5"/>
  <c r="V370" i="5"/>
  <c r="O370" i="5"/>
  <c r="V369" i="5"/>
  <c r="O369" i="5"/>
  <c r="V368" i="5"/>
  <c r="O368" i="5"/>
  <c r="V367" i="5"/>
  <c r="O367" i="5"/>
  <c r="V366" i="5"/>
  <c r="V365" i="5"/>
  <c r="O365" i="5"/>
  <c r="V364" i="5"/>
  <c r="V363" i="5"/>
  <c r="O363" i="5"/>
  <c r="V362" i="5"/>
  <c r="O362" i="5"/>
  <c r="V361" i="5"/>
  <c r="V360" i="5"/>
  <c r="O360" i="5"/>
  <c r="V359" i="5"/>
  <c r="V358" i="5"/>
  <c r="O358" i="5"/>
  <c r="V357" i="5"/>
  <c r="V356" i="5"/>
  <c r="O356" i="5"/>
  <c r="V355" i="5"/>
  <c r="V354" i="5"/>
  <c r="O354" i="5"/>
  <c r="V353" i="5"/>
  <c r="V352" i="5"/>
  <c r="O352" i="5"/>
  <c r="V351" i="5"/>
  <c r="V350" i="5"/>
  <c r="O350" i="5"/>
  <c r="V349" i="5"/>
  <c r="V348" i="5"/>
  <c r="O348" i="5"/>
  <c r="V347" i="5"/>
  <c r="V346" i="5"/>
  <c r="O346" i="5"/>
  <c r="V345" i="5"/>
  <c r="V344" i="5"/>
  <c r="O344" i="5"/>
  <c r="V343" i="5"/>
  <c r="V342" i="5"/>
  <c r="O342" i="5"/>
  <c r="V341" i="5"/>
  <c r="V340" i="5"/>
  <c r="O340" i="5"/>
  <c r="V339" i="5"/>
  <c r="V338" i="5"/>
  <c r="O338" i="5"/>
  <c r="V337" i="5"/>
  <c r="O337" i="5"/>
  <c r="V336" i="5"/>
  <c r="V335" i="5"/>
  <c r="O335" i="5"/>
  <c r="V334" i="5"/>
  <c r="V333" i="5"/>
  <c r="O333" i="5"/>
  <c r="V332" i="5"/>
  <c r="V331" i="5"/>
  <c r="O331" i="5"/>
  <c r="V330" i="5"/>
  <c r="V92" i="5"/>
  <c r="V91" i="5"/>
  <c r="V93" i="5"/>
  <c r="O93" i="5"/>
  <c r="V90" i="5"/>
  <c r="V89" i="5"/>
  <c r="V88" i="5"/>
  <c r="V87" i="5"/>
  <c r="V86" i="5"/>
  <c r="V26" i="5"/>
  <c r="V22" i="5"/>
  <c r="V319" i="5"/>
  <c r="O319" i="5"/>
  <c r="V318" i="5"/>
  <c r="O318" i="5"/>
  <c r="V317" i="5"/>
  <c r="O317" i="5"/>
  <c r="V316" i="5"/>
  <c r="O316" i="5"/>
  <c r="V315" i="5"/>
  <c r="O315" i="5"/>
  <c r="V314" i="5"/>
  <c r="O314" i="5"/>
  <c r="V313" i="5"/>
  <c r="O313" i="5"/>
  <c r="V312" i="5"/>
  <c r="O312" i="5"/>
  <c r="V311" i="5"/>
  <c r="O311" i="5"/>
  <c r="V310" i="5"/>
  <c r="O310" i="5"/>
  <c r="V309" i="5"/>
  <c r="O309" i="5"/>
  <c r="V308" i="5"/>
  <c r="V307" i="5"/>
  <c r="O307" i="5"/>
  <c r="V306" i="5"/>
  <c r="V305" i="5"/>
  <c r="O305" i="5"/>
  <c r="V304" i="5"/>
  <c r="V303" i="5"/>
  <c r="O303" i="5"/>
  <c r="V302" i="5"/>
  <c r="V301" i="5"/>
  <c r="O301" i="5"/>
  <c r="V300" i="5"/>
  <c r="V299" i="5"/>
  <c r="O299" i="5"/>
  <c r="V298" i="5"/>
  <c r="V297" i="5"/>
  <c r="O297" i="5"/>
  <c r="V296" i="5"/>
  <c r="O296" i="5"/>
  <c r="V295" i="5"/>
  <c r="V294" i="5"/>
  <c r="O294" i="5"/>
  <c r="V293" i="5"/>
  <c r="V292" i="5"/>
  <c r="V291" i="5"/>
  <c r="O291" i="5"/>
  <c r="V290" i="5"/>
  <c r="V289" i="5"/>
  <c r="V288" i="5"/>
  <c r="V287" i="5"/>
  <c r="V286" i="5"/>
  <c r="V285" i="5"/>
  <c r="V284" i="5"/>
  <c r="O284" i="5"/>
  <c r="V283" i="5"/>
  <c r="V282" i="5"/>
  <c r="V281" i="5"/>
  <c r="V280" i="5"/>
  <c r="O280" i="5"/>
  <c r="V279" i="5"/>
  <c r="O279" i="5"/>
  <c r="V278" i="5"/>
  <c r="O278" i="5"/>
  <c r="V277" i="5"/>
  <c r="V276" i="5"/>
  <c r="O276" i="5"/>
  <c r="V275" i="5"/>
  <c r="V274" i="5"/>
  <c r="O274" i="5"/>
  <c r="V257" i="5"/>
  <c r="O257" i="5"/>
  <c r="V271" i="5"/>
  <c r="O271" i="5"/>
  <c r="V270" i="5"/>
  <c r="O270" i="5"/>
  <c r="V268" i="5"/>
  <c r="V267" i="5"/>
  <c r="O267" i="5"/>
  <c r="V266" i="5"/>
  <c r="O266" i="5"/>
  <c r="V265" i="5"/>
  <c r="O265" i="5"/>
  <c r="V264" i="5"/>
  <c r="O264" i="5"/>
  <c r="V263" i="5"/>
  <c r="O263" i="5"/>
  <c r="V262" i="5"/>
  <c r="O262" i="5"/>
  <c r="V261" i="5"/>
  <c r="O261" i="5"/>
  <c r="V260" i="5"/>
  <c r="O260" i="5"/>
  <c r="V259" i="5"/>
  <c r="O259" i="5"/>
  <c r="V258" i="5"/>
  <c r="O258" i="5"/>
  <c r="V52" i="5"/>
  <c r="O52" i="5"/>
  <c r="V256" i="5"/>
  <c r="O256" i="5"/>
  <c r="V255" i="5"/>
  <c r="O255" i="5"/>
  <c r="V254" i="5"/>
  <c r="O254" i="5"/>
  <c r="V253" i="5"/>
  <c r="O253" i="5"/>
  <c r="V251" i="5"/>
  <c r="O251" i="5"/>
  <c r="V250" i="5"/>
  <c r="O250" i="5"/>
  <c r="V249" i="5"/>
  <c r="O249" i="5"/>
  <c r="V248" i="5"/>
  <c r="O248" i="5"/>
  <c r="V245" i="5"/>
  <c r="O245" i="5"/>
  <c r="V243" i="5"/>
  <c r="V242" i="5"/>
  <c r="O242" i="5"/>
  <c r="V241" i="5"/>
  <c r="O241" i="5"/>
  <c r="V66" i="5"/>
  <c r="O66" i="5"/>
  <c r="V237" i="5"/>
  <c r="O237" i="5"/>
  <c r="V236" i="5"/>
  <c r="O236" i="5"/>
  <c r="V235" i="5"/>
  <c r="O235" i="5"/>
  <c r="V234" i="5"/>
  <c r="V233" i="5"/>
  <c r="O233" i="5"/>
  <c r="V232" i="5"/>
  <c r="O232" i="5"/>
  <c r="V231" i="5"/>
  <c r="O231" i="5"/>
  <c r="V230" i="5"/>
  <c r="O230" i="5"/>
  <c r="V229" i="5"/>
  <c r="O229" i="5"/>
  <c r="V228" i="5"/>
  <c r="V118" i="5"/>
  <c r="O118" i="5"/>
  <c r="V226" i="5"/>
  <c r="O226" i="5"/>
  <c r="V225" i="5"/>
  <c r="V224" i="5"/>
  <c r="O224" i="5"/>
  <c r="V223" i="5"/>
  <c r="V222" i="5"/>
  <c r="O222" i="5"/>
  <c r="V221" i="5"/>
  <c r="V220" i="5"/>
  <c r="O220" i="5"/>
  <c r="V219" i="5"/>
  <c r="O219" i="5"/>
  <c r="V218" i="5"/>
  <c r="O218" i="5"/>
  <c r="V217" i="5"/>
  <c r="O217" i="5"/>
  <c r="V216" i="5"/>
  <c r="O216" i="5"/>
  <c r="V215" i="5"/>
  <c r="O215" i="5"/>
  <c r="V214" i="5"/>
  <c r="O214" i="5"/>
  <c r="V213" i="5"/>
  <c r="O213" i="5"/>
  <c r="V212" i="5"/>
  <c r="V62" i="5"/>
  <c r="O62" i="5"/>
  <c r="V117" i="5"/>
  <c r="O117" i="5"/>
  <c r="V208" i="5"/>
  <c r="O208" i="5"/>
  <c r="V207" i="5"/>
  <c r="O207" i="5"/>
  <c r="V206" i="5"/>
  <c r="O206" i="5"/>
  <c r="V205" i="5"/>
  <c r="O205" i="5"/>
  <c r="V204" i="5"/>
  <c r="O204" i="5"/>
  <c r="V203" i="5"/>
  <c r="O203" i="5"/>
  <c r="V202" i="5"/>
  <c r="V193" i="5"/>
  <c r="V200" i="5"/>
  <c r="O200" i="5"/>
  <c r="V199" i="5"/>
  <c r="O199" i="5"/>
  <c r="V198" i="5"/>
  <c r="V197" i="5"/>
  <c r="O197" i="5"/>
  <c r="V194" i="5"/>
  <c r="V75" i="5"/>
  <c r="O75" i="5"/>
  <c r="V192" i="5"/>
  <c r="V191" i="5"/>
  <c r="O191" i="5"/>
  <c r="V190" i="5"/>
  <c r="O190" i="5"/>
  <c r="V187" i="5"/>
  <c r="V186" i="5"/>
  <c r="O186" i="5"/>
  <c r="V185" i="5"/>
  <c r="O185" i="5"/>
  <c r="V184" i="5"/>
  <c r="O184" i="5"/>
  <c r="V183" i="5"/>
  <c r="O183" i="5"/>
  <c r="V181" i="5"/>
  <c r="V180" i="5"/>
  <c r="O180" i="5"/>
  <c r="V179" i="5"/>
  <c r="V178" i="5"/>
  <c r="V82" i="5"/>
  <c r="O82" i="5"/>
  <c r="V176" i="5"/>
  <c r="O176" i="5"/>
  <c r="V175" i="5"/>
  <c r="O175" i="5"/>
  <c r="V174" i="5"/>
  <c r="V173" i="5"/>
  <c r="O173" i="5"/>
  <c r="V172" i="5"/>
  <c r="O172" i="5"/>
  <c r="V171" i="5"/>
  <c r="V170" i="5"/>
  <c r="V169" i="5"/>
  <c r="O169" i="5"/>
  <c r="V168" i="5"/>
  <c r="O168" i="5"/>
  <c r="V167" i="5"/>
  <c r="O167" i="5"/>
  <c r="V166" i="5"/>
  <c r="O166" i="5"/>
  <c r="V165" i="5"/>
  <c r="O165" i="5"/>
  <c r="V164" i="5"/>
  <c r="O164" i="5"/>
  <c r="V163" i="5"/>
  <c r="O163" i="5"/>
  <c r="V162" i="5"/>
  <c r="O162" i="5"/>
  <c r="V161" i="5"/>
  <c r="O161" i="5"/>
  <c r="V160" i="5"/>
  <c r="V159" i="5"/>
  <c r="O159" i="5"/>
  <c r="V158" i="5"/>
  <c r="V157" i="5"/>
  <c r="O157" i="5"/>
  <c r="V156" i="5"/>
  <c r="O156" i="5"/>
  <c r="V155" i="5"/>
  <c r="V119" i="5"/>
  <c r="V149" i="5"/>
  <c r="V147" i="5"/>
  <c r="V146" i="5"/>
  <c r="O146" i="5"/>
  <c r="V144" i="5"/>
  <c r="V143" i="5"/>
  <c r="V177" i="5"/>
  <c r="O177" i="5"/>
  <c r="V141" i="5"/>
  <c r="O141" i="5"/>
  <c r="V138" i="5"/>
  <c r="O138" i="5"/>
  <c r="V137" i="5"/>
  <c r="V136" i="5"/>
  <c r="O136" i="5"/>
  <c r="V135" i="5"/>
  <c r="O135" i="5"/>
  <c r="V134" i="5"/>
  <c r="V133" i="5"/>
  <c r="O133" i="5"/>
  <c r="V132" i="5"/>
  <c r="O132" i="5"/>
  <c r="V131" i="5"/>
  <c r="O131" i="5"/>
  <c r="V130" i="5"/>
  <c r="O130" i="5"/>
  <c r="V129" i="5"/>
  <c r="O129" i="5"/>
  <c r="V128" i="5"/>
  <c r="O128" i="5"/>
  <c r="V127" i="5"/>
  <c r="O127" i="5"/>
  <c r="V126" i="5"/>
  <c r="O126" i="5"/>
  <c r="V125" i="5"/>
  <c r="O125" i="5"/>
  <c r="V124" i="5"/>
  <c r="O124" i="5"/>
  <c r="V120" i="5"/>
  <c r="V328" i="5"/>
  <c r="V209" i="5"/>
  <c r="V238" i="5"/>
  <c r="V116" i="5"/>
  <c r="V115" i="5"/>
  <c r="O115" i="5"/>
  <c r="V114" i="5"/>
  <c r="V113" i="5"/>
  <c r="O113" i="5"/>
  <c r="V112" i="5"/>
  <c r="V111" i="5"/>
  <c r="O111" i="5"/>
  <c r="V110" i="5"/>
  <c r="V109" i="5"/>
  <c r="V108" i="5"/>
  <c r="V324" i="5"/>
  <c r="O324" i="5"/>
  <c r="V94" i="5"/>
  <c r="O94" i="5"/>
  <c r="V103" i="5"/>
  <c r="O103" i="5"/>
  <c r="V102" i="5"/>
  <c r="O102" i="5"/>
  <c r="V98" i="5"/>
  <c r="O98" i="5"/>
  <c r="V106" i="5"/>
  <c r="V325" i="5"/>
  <c r="O325" i="5"/>
  <c r="V323" i="5"/>
  <c r="O323" i="5"/>
  <c r="V151" i="5"/>
  <c r="V560" i="5"/>
  <c r="O560" i="5"/>
  <c r="V97" i="5"/>
  <c r="V105" i="5"/>
  <c r="O105" i="5"/>
  <c r="V327" i="5"/>
  <c r="O327" i="5"/>
  <c r="V326" i="5"/>
  <c r="V95" i="5"/>
  <c r="V96" i="5"/>
  <c r="O96" i="5"/>
  <c r="V99" i="5"/>
  <c r="V107" i="5"/>
  <c r="V85" i="5"/>
  <c r="O85" i="5"/>
  <c r="V201" i="5"/>
  <c r="O201" i="5"/>
  <c r="V80" i="5"/>
  <c r="O80" i="5"/>
  <c r="V79" i="5"/>
  <c r="V78" i="5"/>
  <c r="O78" i="5"/>
  <c r="V559" i="5"/>
  <c r="O559" i="5"/>
  <c r="V76" i="5"/>
  <c r="O76" i="5"/>
  <c r="V558" i="5"/>
  <c r="O558" i="5"/>
  <c r="V74" i="5"/>
  <c r="O74" i="5"/>
  <c r="V73" i="5"/>
  <c r="O73" i="5"/>
  <c r="V72" i="5"/>
  <c r="O72" i="5"/>
  <c r="V71" i="5"/>
  <c r="V70" i="5"/>
  <c r="V67" i="5"/>
  <c r="V77" i="5"/>
  <c r="O77" i="5"/>
  <c r="V65" i="5"/>
  <c r="O65" i="5"/>
  <c r="V64" i="5"/>
  <c r="O64" i="5"/>
  <c r="V63" i="5"/>
  <c r="V210" i="5"/>
  <c r="O210" i="5"/>
  <c r="V61" i="5"/>
  <c r="O61" i="5"/>
  <c r="V60" i="5"/>
  <c r="O60" i="5"/>
  <c r="V59" i="5"/>
  <c r="V58" i="5"/>
  <c r="O58" i="5"/>
  <c r="V57" i="5"/>
  <c r="O57" i="5"/>
  <c r="V56" i="5"/>
  <c r="O56" i="5"/>
  <c r="V55" i="5"/>
  <c r="V54" i="5"/>
  <c r="O54" i="5"/>
  <c r="V53" i="5"/>
  <c r="V227" i="5"/>
  <c r="O227" i="5"/>
  <c r="V51" i="5"/>
  <c r="O51" i="5"/>
  <c r="V50" i="5"/>
  <c r="O50" i="5"/>
  <c r="V49" i="5"/>
  <c r="V48" i="5"/>
  <c r="V47" i="5"/>
  <c r="O47" i="5"/>
  <c r="V46" i="5"/>
  <c r="O46" i="5"/>
  <c r="V45" i="5"/>
  <c r="O45" i="5"/>
  <c r="V44" i="5"/>
  <c r="O44" i="5"/>
  <c r="V43" i="5"/>
  <c r="V42" i="5"/>
  <c r="V41" i="5"/>
  <c r="O41" i="5"/>
  <c r="V40" i="5"/>
  <c r="V39" i="5"/>
  <c r="O39" i="5"/>
  <c r="V38" i="5"/>
  <c r="V34" i="5"/>
  <c r="V33" i="5"/>
  <c r="V32" i="5"/>
  <c r="V31" i="5"/>
  <c r="V30" i="5"/>
  <c r="V29" i="5"/>
  <c r="V28" i="5"/>
  <c r="V27" i="5"/>
  <c r="V329" i="5"/>
  <c r="V5" i="5"/>
  <c r="V15" i="5"/>
  <c r="V14" i="5"/>
  <c r="V11" i="5"/>
  <c r="V19" i="5"/>
  <c r="V21" i="5"/>
  <c r="V16" i="5"/>
  <c r="V10" i="5"/>
  <c r="V25" i="5"/>
  <c r="V13" i="5"/>
  <c r="V9" i="5"/>
  <c r="V4" i="5"/>
  <c r="V24" i="5"/>
  <c r="V12" i="5"/>
  <c r="V18" i="5"/>
  <c r="V23" i="5"/>
  <c r="V7" i="5"/>
  <c r="V8" i="5"/>
  <c r="V6" i="5"/>
  <c r="V20" i="5"/>
  <c r="V101" i="5"/>
  <c r="V3" i="5"/>
  <c r="O3" i="5"/>
  <c r="O1" i="5"/>
  <c r="O195" i="5" s="1"/>
  <c r="Z195" i="5" s="1"/>
  <c r="AA1" i="5"/>
  <c r="F1" i="5" s="1"/>
  <c r="O6" i="5" s="1"/>
  <c r="Z6" i="5" s="1"/>
  <c r="T6" i="3"/>
  <c r="T5" i="3"/>
  <c r="T4" i="3" s="1"/>
  <c r="B6" i="16"/>
  <c r="D6" i="16" s="1"/>
  <c r="D5" i="16"/>
  <c r="O188" i="5" l="1"/>
  <c r="Z188" i="5" s="1"/>
  <c r="O194" i="5"/>
  <c r="Z194" i="5" s="1"/>
  <c r="O170" i="5"/>
  <c r="Z170" i="5" s="1"/>
  <c r="O182" i="5"/>
  <c r="Z182" i="5" s="1"/>
  <c r="O181" i="5"/>
  <c r="Z181" i="5" s="1"/>
  <c r="O110" i="5"/>
  <c r="Z110" i="5" s="1"/>
  <c r="O109" i="5"/>
  <c r="Z109" i="5" s="1"/>
  <c r="O152" i="5"/>
  <c r="Z152" i="5" s="1"/>
  <c r="O100" i="5"/>
  <c r="Z100" i="5" s="1"/>
  <c r="O99" i="5"/>
  <c r="Z99" i="5" s="1"/>
  <c r="O148" i="5"/>
  <c r="Z148" i="5" s="1"/>
  <c r="O320" i="5"/>
  <c r="Z320" i="5" s="1"/>
  <c r="O150" i="5"/>
  <c r="Z150" i="5" s="1"/>
  <c r="O142" i="5"/>
  <c r="Z142" i="5" s="1"/>
  <c r="O38" i="5"/>
  <c r="Z38" i="5" s="1"/>
  <c r="O37" i="5"/>
  <c r="Z37" i="5" s="1"/>
  <c r="O40" i="5"/>
  <c r="Z40" i="5" s="1"/>
  <c r="O149" i="5"/>
  <c r="Z149" i="5" s="1"/>
  <c r="O19" i="5"/>
  <c r="Z19" i="5" s="1"/>
  <c r="O21" i="5"/>
  <c r="Z21" i="5" s="1"/>
  <c r="O10" i="5"/>
  <c r="Z10" i="5" s="1"/>
  <c r="O13" i="5"/>
  <c r="Z13" i="5" s="1"/>
  <c r="O17" i="5"/>
  <c r="Z17" i="5" s="1"/>
  <c r="O9" i="5"/>
  <c r="Z9" i="5" s="1"/>
  <c r="O18" i="5"/>
  <c r="Z18" i="5" s="1"/>
  <c r="O12" i="5"/>
  <c r="Z12" i="5" s="1"/>
  <c r="O7" i="5"/>
  <c r="Z7" i="5" s="1"/>
  <c r="O8" i="5"/>
  <c r="Z8" i="5" s="1"/>
  <c r="O4" i="5"/>
  <c r="Z4" i="5" s="1"/>
  <c r="O588" i="5"/>
  <c r="Z588" i="5" s="1"/>
  <c r="O625" i="5"/>
  <c r="Z625" i="5" s="1"/>
  <c r="O609" i="5"/>
  <c r="Z609" i="5" s="1"/>
  <c r="O608" i="5"/>
  <c r="Z608" i="5" s="1"/>
  <c r="O563" i="5"/>
  <c r="Z563" i="5" s="1"/>
  <c r="O575" i="5"/>
  <c r="Z575" i="5" s="1"/>
  <c r="O557" i="5"/>
  <c r="Z557" i="5" s="1"/>
  <c r="O571" i="5"/>
  <c r="Z571" i="5" s="1"/>
  <c r="O569" i="5"/>
  <c r="Z569" i="5" s="1"/>
  <c r="O626" i="5"/>
  <c r="Z626" i="5" s="1"/>
  <c r="O221" i="5"/>
  <c r="Z221" i="5" s="1"/>
  <c r="O616" i="5"/>
  <c r="Z616" i="5" s="1"/>
  <c r="O568" i="5"/>
  <c r="Z568" i="5" s="1"/>
  <c r="O556" i="5"/>
  <c r="Z556" i="5" s="1"/>
  <c r="O619" i="5"/>
  <c r="Z619" i="5" s="1"/>
  <c r="O612" i="5"/>
  <c r="Z612" i="5" s="1"/>
  <c r="O605" i="5"/>
  <c r="Z605" i="5" s="1"/>
  <c r="O513" i="5"/>
  <c r="Z513" i="5" s="1"/>
  <c r="O613" i="5"/>
  <c r="Z613" i="5" s="1"/>
  <c r="O34" i="5"/>
  <c r="Z34" i="5" s="1"/>
  <c r="O33" i="5"/>
  <c r="Z33" i="5" s="1"/>
  <c r="O32" i="5"/>
  <c r="Z32" i="5" s="1"/>
  <c r="O31" i="5"/>
  <c r="Z31" i="5" s="1"/>
  <c r="O30" i="5"/>
  <c r="Z30" i="5" s="1"/>
  <c r="O29" i="5"/>
  <c r="Z29" i="5" s="1"/>
  <c r="O28" i="5"/>
  <c r="Z28" i="5" s="1"/>
  <c r="O27" i="5"/>
  <c r="Z27" i="5" s="1"/>
  <c r="O329" i="5"/>
  <c r="Z329" i="5" s="1"/>
  <c r="P38" i="17"/>
  <c r="P30" i="16"/>
  <c r="P51" i="17"/>
  <c r="P40" i="16"/>
  <c r="P64" i="17"/>
  <c r="P50" i="16"/>
  <c r="P10" i="17"/>
  <c r="P10" i="16"/>
  <c r="P25" i="17"/>
  <c r="P20" i="16"/>
  <c r="P73" i="17"/>
  <c r="P55" i="16"/>
  <c r="P39" i="17"/>
  <c r="P31" i="16"/>
  <c r="P52" i="17"/>
  <c r="P41" i="16"/>
  <c r="P71" i="17"/>
  <c r="P51" i="16"/>
  <c r="P11" i="17"/>
  <c r="P11" i="16"/>
  <c r="P26" i="17"/>
  <c r="P21" i="16"/>
  <c r="P74" i="17"/>
  <c r="P56" i="16"/>
  <c r="P40" i="17"/>
  <c r="P32" i="16"/>
  <c r="P56" i="17"/>
  <c r="P42" i="16"/>
  <c r="P72" i="17"/>
  <c r="P52" i="16"/>
  <c r="P12" i="17"/>
  <c r="P12" i="16"/>
  <c r="P27" i="17"/>
  <c r="P22" i="16"/>
  <c r="P31" i="17"/>
  <c r="P23" i="16"/>
  <c r="P41" i="17"/>
  <c r="P33" i="16"/>
  <c r="P57" i="17"/>
  <c r="P43" i="16"/>
  <c r="P13" i="17"/>
  <c r="P13" i="16"/>
  <c r="P32" i="17"/>
  <c r="P24" i="16"/>
  <c r="P45" i="17"/>
  <c r="P34" i="16"/>
  <c r="P58" i="17"/>
  <c r="P44" i="16"/>
  <c r="P17" i="17"/>
  <c r="P14" i="16"/>
  <c r="P33" i="17"/>
  <c r="P25" i="16"/>
  <c r="P46" i="17"/>
  <c r="P35" i="16"/>
  <c r="P59" i="17"/>
  <c r="P45" i="16"/>
  <c r="P5" i="17"/>
  <c r="P5" i="16"/>
  <c r="P18" i="17"/>
  <c r="P15" i="16"/>
  <c r="P6" i="17"/>
  <c r="P6" i="16"/>
  <c r="P34" i="17"/>
  <c r="P26" i="16"/>
  <c r="P47" i="17"/>
  <c r="P36" i="16"/>
  <c r="P60" i="17"/>
  <c r="P46" i="16"/>
  <c r="P65" i="17"/>
  <c r="P57" i="16"/>
  <c r="P19" i="17"/>
  <c r="P16" i="16"/>
  <c r="P66" i="17"/>
  <c r="P58" i="16"/>
  <c r="P7" i="17"/>
  <c r="P7" i="16"/>
  <c r="P35" i="17"/>
  <c r="P27" i="16"/>
  <c r="P48" i="17"/>
  <c r="P37" i="16"/>
  <c r="P61" i="17"/>
  <c r="P47" i="16"/>
  <c r="P8" i="17"/>
  <c r="P8" i="16"/>
  <c r="P20" i="17"/>
  <c r="P17" i="16"/>
  <c r="P67" i="17"/>
  <c r="P59" i="16"/>
  <c r="P36" i="17"/>
  <c r="P28" i="16"/>
  <c r="P49" i="17"/>
  <c r="P38" i="16"/>
  <c r="P62" i="17"/>
  <c r="P48" i="16"/>
  <c r="P21" i="17"/>
  <c r="P18" i="16"/>
  <c r="P9" i="17"/>
  <c r="P9" i="16"/>
  <c r="P37" i="17"/>
  <c r="P29" i="16"/>
  <c r="P50" i="17"/>
  <c r="P39" i="16"/>
  <c r="P63" i="17"/>
  <c r="P49" i="16"/>
  <c r="P22" i="17"/>
  <c r="P53" i="16"/>
  <c r="P24" i="17"/>
  <c r="P19" i="16"/>
  <c r="P23" i="17"/>
  <c r="P54" i="16"/>
  <c r="O20" i="5"/>
  <c r="Z20" i="5" s="1"/>
  <c r="O119" i="5"/>
  <c r="Z119" i="5" s="1"/>
  <c r="K2" i="9"/>
  <c r="D10" i="17"/>
  <c r="B11" i="17"/>
  <c r="B7" i="16"/>
  <c r="O584" i="5"/>
  <c r="Z584" i="5" s="1"/>
  <c r="O151" i="5"/>
  <c r="Z151" i="5" s="1"/>
  <c r="O43" i="5"/>
  <c r="Z43" i="5" s="1"/>
  <c r="O562" i="5"/>
  <c r="Z562" i="5" s="1"/>
  <c r="O187" i="5"/>
  <c r="Z187" i="5" s="1"/>
  <c r="O147" i="5"/>
  <c r="Z147" i="5" s="1"/>
  <c r="O107" i="5"/>
  <c r="Z107" i="5" s="1"/>
  <c r="O243" i="5"/>
  <c r="Z243" i="5" s="1"/>
  <c r="O42" i="5"/>
  <c r="Z42" i="5" s="1"/>
  <c r="O593" i="5"/>
  <c r="Z593" i="5" s="1"/>
  <c r="J3" i="9"/>
  <c r="I4" i="9" s="1"/>
  <c r="O24" i="5"/>
  <c r="Z24" i="5" s="1"/>
  <c r="O15" i="5"/>
  <c r="Z15" i="5" s="1"/>
  <c r="O101" i="5"/>
  <c r="Z101" i="5" s="1"/>
  <c r="O14" i="5"/>
  <c r="Z14" i="5" s="1"/>
  <c r="O11" i="5"/>
  <c r="Z11" i="5" s="1"/>
  <c r="O16" i="5"/>
  <c r="Z16" i="5" s="1"/>
  <c r="O23" i="5"/>
  <c r="Z23" i="5" s="1"/>
  <c r="O25" i="5"/>
  <c r="Z25" i="5" s="1"/>
  <c r="O5" i="5"/>
  <c r="Z5" i="5" s="1"/>
  <c r="K3" i="9" l="1"/>
  <c r="D11" i="17"/>
  <c r="B12" i="17"/>
  <c r="J4" i="9"/>
  <c r="I5" i="9" s="1"/>
  <c r="K4" i="9"/>
  <c r="B8" i="16"/>
  <c r="D7" i="16"/>
  <c r="B13" i="17" l="1"/>
  <c r="D12" i="17"/>
  <c r="J5" i="9"/>
  <c r="I6" i="9" s="1"/>
  <c r="D8" i="16"/>
  <c r="B9" i="16"/>
  <c r="K5" i="9" l="1"/>
  <c r="B17" i="17"/>
  <c r="D13" i="17"/>
  <c r="B10" i="16"/>
  <c r="D9" i="16"/>
  <c r="J6" i="9"/>
  <c r="I7" i="9" s="1"/>
  <c r="B18" i="17" l="1"/>
  <c r="D17" i="17"/>
  <c r="K6" i="9"/>
  <c r="D10" i="16"/>
  <c r="B11" i="16"/>
  <c r="J7" i="9"/>
  <c r="I8" i="9" s="1"/>
  <c r="D18" i="17" l="1"/>
  <c r="B19" i="17"/>
  <c r="J8" i="9"/>
  <c r="I9" i="9" s="1"/>
  <c r="K7" i="9"/>
  <c r="B12" i="16"/>
  <c r="D11" i="16"/>
  <c r="D19" i="17" l="1"/>
  <c r="B20" i="17"/>
  <c r="J9" i="9"/>
  <c r="I10" i="9" s="1"/>
  <c r="D12" i="16"/>
  <c r="B13" i="16"/>
  <c r="K8" i="9"/>
  <c r="D20" i="17" l="1"/>
  <c r="B21" i="17"/>
  <c r="J10" i="9"/>
  <c r="I11" i="9" s="1"/>
  <c r="K10" i="9"/>
  <c r="B14" i="16"/>
  <c r="D13" i="16"/>
  <c r="K9" i="9"/>
  <c r="D21" i="17" l="1"/>
  <c r="B24" i="17"/>
  <c r="D14" i="16"/>
  <c r="B15" i="16"/>
  <c r="J11" i="9"/>
  <c r="K11" i="9" s="1"/>
  <c r="D24" i="17" l="1"/>
  <c r="B25" i="17"/>
  <c r="B16" i="16"/>
  <c r="D15" i="16"/>
  <c r="B26" i="17" l="1"/>
  <c r="D25" i="17"/>
  <c r="D16" i="16"/>
  <c r="B17" i="16"/>
  <c r="D26" i="17" l="1"/>
  <c r="B27" i="17"/>
  <c r="B18" i="16"/>
  <c r="D17" i="16"/>
  <c r="B31" i="17" l="1"/>
  <c r="D27" i="17"/>
  <c r="D18" i="16"/>
  <c r="B19" i="16"/>
  <c r="D31" i="17" l="1"/>
  <c r="B32" i="17"/>
  <c r="B20" i="16"/>
  <c r="D19" i="16"/>
  <c r="D32" i="17" l="1"/>
  <c r="B33" i="17"/>
  <c r="D20" i="16"/>
  <c r="B21" i="16"/>
  <c r="B34" i="17" l="1"/>
  <c r="D33" i="17"/>
  <c r="B22" i="16"/>
  <c r="D21" i="16"/>
  <c r="D34" i="17" l="1"/>
  <c r="B35" i="17"/>
  <c r="D22" i="16"/>
  <c r="B23" i="16"/>
  <c r="B36" i="17" l="1"/>
  <c r="D35" i="17"/>
  <c r="B24" i="16"/>
  <c r="D23" i="16"/>
  <c r="B37" i="17" l="1"/>
  <c r="D36" i="17"/>
  <c r="D24" i="16"/>
  <c r="B25" i="16"/>
  <c r="D37" i="17" l="1"/>
  <c r="B38" i="17"/>
  <c r="B26" i="16"/>
  <c r="D25" i="16"/>
  <c r="B39" i="17" l="1"/>
  <c r="D38" i="17"/>
  <c r="D26" i="16"/>
  <c r="B27" i="16"/>
  <c r="B40" i="17" l="1"/>
  <c r="D39" i="17"/>
  <c r="B28" i="16"/>
  <c r="D27" i="16"/>
  <c r="D40" i="17" l="1"/>
  <c r="B41" i="17"/>
  <c r="D28" i="16"/>
  <c r="B29" i="16"/>
  <c r="B45" i="17" l="1"/>
  <c r="D41" i="17"/>
  <c r="B30" i="16"/>
  <c r="D29" i="16"/>
  <c r="D45" i="17" l="1"/>
  <c r="B46" i="17"/>
  <c r="D30" i="16"/>
  <c r="B31" i="16"/>
  <c r="B47" i="17" l="1"/>
  <c r="D46" i="17"/>
  <c r="B32" i="16"/>
  <c r="D31" i="16"/>
  <c r="B48" i="17" l="1"/>
  <c r="D47" i="17"/>
  <c r="D32" i="16"/>
  <c r="B33" i="16"/>
  <c r="D48" i="17" l="1"/>
  <c r="B49" i="17"/>
  <c r="B34" i="16"/>
  <c r="D33" i="16"/>
  <c r="B50" i="17" l="1"/>
  <c r="D49" i="17"/>
  <c r="D34" i="16"/>
  <c r="B35" i="16"/>
  <c r="B51" i="17" l="1"/>
  <c r="D50" i="17"/>
  <c r="B36" i="16"/>
  <c r="D35" i="16"/>
  <c r="D51" i="17" l="1"/>
  <c r="B52" i="17"/>
  <c r="D36" i="16"/>
  <c r="B37" i="16"/>
  <c r="B56" i="17" l="1"/>
  <c r="D52" i="17"/>
  <c r="B38" i="16"/>
  <c r="D37" i="16"/>
  <c r="D56" i="17" l="1"/>
  <c r="B57" i="17"/>
  <c r="D38" i="16"/>
  <c r="B39" i="16"/>
  <c r="B58" i="17" l="1"/>
  <c r="D57" i="17"/>
  <c r="B40" i="16"/>
  <c r="D39" i="16"/>
  <c r="B59" i="17" l="1"/>
  <c r="D58" i="17"/>
  <c r="D40" i="16"/>
  <c r="B41" i="16"/>
  <c r="D59" i="17" l="1"/>
  <c r="B60" i="17"/>
  <c r="B42" i="16"/>
  <c r="D41" i="16"/>
  <c r="B61" i="17" l="1"/>
  <c r="D60" i="17"/>
  <c r="D42" i="16"/>
  <c r="B43" i="16"/>
  <c r="B62" i="17" l="1"/>
  <c r="D61" i="17"/>
  <c r="B44" i="16"/>
  <c r="D43" i="16"/>
  <c r="D62" i="17" l="1"/>
  <c r="B63" i="17"/>
  <c r="D44" i="16"/>
  <c r="B45" i="16"/>
  <c r="B64" i="17" l="1"/>
  <c r="D63" i="17"/>
  <c r="B46" i="16"/>
  <c r="D45" i="16"/>
  <c r="D64" i="17" l="1"/>
  <c r="B71" i="17"/>
  <c r="D46" i="16"/>
  <c r="B47" i="16"/>
  <c r="D71" i="17" l="1"/>
  <c r="B72" i="17"/>
  <c r="B48" i="16"/>
  <c r="D47" i="16"/>
  <c r="B22" i="17" l="1"/>
  <c r="D72" i="17"/>
  <c r="D48" i="16"/>
  <c r="B49" i="16"/>
  <c r="D22" i="17" l="1"/>
  <c r="B23" i="17"/>
  <c r="B50" i="16"/>
  <c r="D49" i="16"/>
  <c r="B73" i="17" l="1"/>
  <c r="D23" i="17"/>
  <c r="D50" i="16"/>
  <c r="B51" i="16"/>
  <c r="B74" i="17" l="1"/>
  <c r="D73" i="17"/>
  <c r="B52" i="16"/>
  <c r="D51" i="16"/>
  <c r="D74" i="17" l="1"/>
  <c r="B65" i="17"/>
  <c r="D52" i="16"/>
  <c r="B53" i="16"/>
  <c r="B66" i="17" l="1"/>
  <c r="D65" i="17"/>
  <c r="B54" i="16"/>
  <c r="D53" i="16"/>
  <c r="D66" i="17" l="1"/>
  <c r="B67" i="17"/>
  <c r="D67" i="17" s="1"/>
  <c r="D54" i="16"/>
  <c r="B55" i="16"/>
  <c r="B56" i="16" l="1"/>
  <c r="D55" i="16"/>
  <c r="D56" i="16" l="1"/>
  <c r="B57" i="16"/>
  <c r="B58" i="16" l="1"/>
  <c r="D57" i="16"/>
  <c r="D58" i="16" l="1"/>
  <c r="B59" i="16"/>
  <c r="D59" i="16" s="1"/>
</calcChain>
</file>

<file path=xl/sharedStrings.xml><?xml version="1.0" encoding="utf-8"?>
<sst xmlns="http://schemas.openxmlformats.org/spreadsheetml/2006/main" count="17289" uniqueCount="1687">
  <si>
    <t>+</t>
  </si>
  <si>
    <t>e</t>
  </si>
  <si>
    <t>Reaction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</si>
  <si>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</si>
  <si>
    <t>b</t>
  </si>
  <si>
    <t>Index</t>
  </si>
  <si>
    <t>(R1)</t>
  </si>
  <si>
    <t xml:space="preserve"> → </t>
  </si>
  <si>
    <t xml:space="preserve"> N</t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</si>
  <si>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D)</t>
    </r>
  </si>
  <si>
    <t>Rate constant</t>
  </si>
  <si>
    <r>
      <t>3.99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2.24 exp(-9.10/ε)</t>
    </r>
  </si>
  <si>
    <t>Ref.</t>
  </si>
  <si>
    <t>(R2)</t>
  </si>
  <si>
    <t>(R3)</t>
  </si>
  <si>
    <t>(R4)</t>
  </si>
  <si>
    <t>(R5)</t>
  </si>
  <si>
    <t>(R6)</t>
  </si>
  <si>
    <t>(R7)</t>
  </si>
  <si>
    <t>(R8)</t>
  </si>
  <si>
    <t>(R9)</t>
  </si>
  <si>
    <t>(R10)</t>
  </si>
  <si>
    <t>(R11)</t>
  </si>
  <si>
    <t>(R12)</t>
  </si>
  <si>
    <t>(R13)</t>
  </si>
  <si>
    <t>(R14)</t>
  </si>
  <si>
    <t>(R15)</t>
  </si>
  <si>
    <t>(R16)</t>
  </si>
  <si>
    <t>(R17)</t>
  </si>
  <si>
    <t>(R18)</t>
  </si>
  <si>
    <t>(R19)</t>
  </si>
  <si>
    <t>(R20)</t>
  </si>
  <si>
    <t>(R21)</t>
  </si>
  <si>
    <t>(R22)</t>
  </si>
  <si>
    <t>(R23)</t>
  </si>
  <si>
    <t>(R24)</t>
  </si>
  <si>
    <t>(R25)</t>
  </si>
  <si>
    <t>(R26)</t>
  </si>
  <si>
    <t>(R27)</t>
  </si>
  <si>
    <t>(R28)</t>
  </si>
  <si>
    <t>(R29)</t>
  </si>
  <si>
    <t>(R30)</t>
  </si>
  <si>
    <t>(R31)</t>
  </si>
  <si>
    <t>(R32)</t>
  </si>
  <si>
    <t>(R33)</t>
  </si>
  <si>
    <t>(R34)</t>
  </si>
  <si>
    <t>(R35)</t>
  </si>
  <si>
    <t>(R36)</t>
  </si>
  <si>
    <t>(R37)</t>
  </si>
  <si>
    <t>(R38)</t>
  </si>
  <si>
    <t>(R39)</t>
  </si>
  <si>
    <t>(R40)</t>
  </si>
  <si>
    <t>(R41)</t>
  </si>
  <si>
    <t>(R42)</t>
  </si>
  <si>
    <t>(R43)</t>
  </si>
  <si>
    <t>(R44)</t>
  </si>
  <si>
    <t>(R45)</t>
  </si>
  <si>
    <t>(R46)</t>
  </si>
  <si>
    <t>(R47)</t>
  </si>
  <si>
    <t>(R48)</t>
  </si>
  <si>
    <t>(R49)</t>
  </si>
  <si>
    <t>(R50)</t>
  </si>
  <si>
    <t>(R51)</t>
  </si>
  <si>
    <t>(R52)</t>
  </si>
  <si>
    <t>(R53)</t>
  </si>
  <si>
    <t>(R54)</t>
  </si>
  <si>
    <t>(R55)</t>
  </si>
  <si>
    <t>(R56)</t>
  </si>
  <si>
    <t>(R57)</t>
  </si>
  <si>
    <t>(R58)</t>
  </si>
  <si>
    <t>(R59)</t>
  </si>
  <si>
    <t>(R60)</t>
  </si>
  <si>
    <t>(R61)</t>
  </si>
  <si>
    <t>(R62)</t>
  </si>
  <si>
    <t>(R63)</t>
  </si>
  <si>
    <t>(R64)</t>
  </si>
  <si>
    <t>(R65)</t>
  </si>
  <si>
    <t>(R66)</t>
  </si>
  <si>
    <t>(R67)</t>
  </si>
  <si>
    <t>(R68)</t>
  </si>
  <si>
    <t>(R69)</t>
  </si>
  <si>
    <t>(R70)</t>
  </si>
  <si>
    <t>(R71)</t>
  </si>
  <si>
    <t>(R72)</t>
  </si>
  <si>
    <t>(R73)</t>
  </si>
  <si>
    <t>(R74)</t>
  </si>
  <si>
    <t>(R75)</t>
  </si>
  <si>
    <t>(R76)</t>
  </si>
  <si>
    <t>(R77)</t>
  </si>
  <si>
    <t>(R78)</t>
  </si>
  <si>
    <t>(R79)</t>
  </si>
  <si>
    <t>(R80)</t>
  </si>
  <si>
    <t>(R81)</t>
  </si>
  <si>
    <t>(R82)</t>
  </si>
  <si>
    <t>(R83)</t>
  </si>
  <si>
    <t>(R84)</t>
  </si>
  <si>
    <t>(R85)</t>
  </si>
  <si>
    <t>(R86)</t>
  </si>
  <si>
    <t>(R87)</t>
  </si>
  <si>
    <t>(R88)</t>
  </si>
  <si>
    <t>(R89)</t>
  </si>
  <si>
    <t>(R90)</t>
  </si>
  <si>
    <t>(R91)</t>
  </si>
  <si>
    <t>(R92)</t>
  </si>
  <si>
    <t>(R93)</t>
  </si>
  <si>
    <t>(R94)</t>
  </si>
  <si>
    <t>(R95)</t>
  </si>
  <si>
    <t>(R96)</t>
  </si>
  <si>
    <t>(R97)</t>
  </si>
  <si>
    <t>(R98)</t>
  </si>
  <si>
    <t>(R99)</t>
  </si>
  <si>
    <t>(R100)</t>
  </si>
  <si>
    <t>(R101)</t>
  </si>
  <si>
    <t>(R102)</t>
  </si>
  <si>
    <t>(R103)</t>
  </si>
  <si>
    <t>(R104)</t>
  </si>
  <si>
    <t>(R105)</t>
  </si>
  <si>
    <t>(R106)</t>
  </si>
  <si>
    <t>(R107)</t>
  </si>
  <si>
    <t>(R108)</t>
  </si>
  <si>
    <t>(R109)</t>
  </si>
  <si>
    <t>(R110)</t>
  </si>
  <si>
    <t>(R111)</t>
  </si>
  <si>
    <t>(R112)</t>
  </si>
  <si>
    <t>(R113)</t>
  </si>
  <si>
    <t>(R114)</t>
  </si>
  <si>
    <t>(R115)</t>
  </si>
  <si>
    <t>(R116)</t>
  </si>
  <si>
    <t>(R117)</t>
  </si>
  <si>
    <t>(R118)</t>
  </si>
  <si>
    <t>(R119)</t>
  </si>
  <si>
    <t>(R120)</t>
  </si>
  <si>
    <t>(R121)</t>
  </si>
  <si>
    <t>(R122)</t>
  </si>
  <si>
    <t>(R123)</t>
  </si>
  <si>
    <t>(R124)</t>
  </si>
  <si>
    <t>(R125)</t>
  </si>
  <si>
    <t>(R126)</t>
  </si>
  <si>
    <t>(R127)</t>
  </si>
  <si>
    <t>(R128)</t>
  </si>
  <si>
    <t>(R129)</t>
  </si>
  <si>
    <t>(R130)</t>
  </si>
  <si>
    <t>(R131)</t>
  </si>
  <si>
    <t>(R132)</t>
  </si>
  <si>
    <t>(R133)</t>
  </si>
  <si>
    <t>(R134)</t>
  </si>
  <si>
    <t>(R135)</t>
  </si>
  <si>
    <t>(R136)</t>
  </si>
  <si>
    <t>(R137)</t>
  </si>
  <si>
    <t>(R138)</t>
  </si>
  <si>
    <t>(R139)</t>
  </si>
  <si>
    <t>(R140)</t>
  </si>
  <si>
    <t>(R141)</t>
  </si>
  <si>
    <t>(R142)</t>
  </si>
  <si>
    <t>(R143)</t>
  </si>
  <si>
    <t>(R144)</t>
  </si>
  <si>
    <t>(R145)</t>
  </si>
  <si>
    <t>(R146)</t>
  </si>
  <si>
    <t>(R147)</t>
  </si>
  <si>
    <t>(R148)</t>
  </si>
  <si>
    <t>(R149)</t>
  </si>
  <si>
    <t>(R150)</t>
  </si>
  <si>
    <t>(R151)</t>
  </si>
  <si>
    <t>(R152)</t>
  </si>
  <si>
    <t>(R153)</t>
  </si>
  <si>
    <t>(R154)</t>
  </si>
  <si>
    <t>(R155)</t>
  </si>
  <si>
    <t>(R156)</t>
  </si>
  <si>
    <t>(R157)</t>
  </si>
  <si>
    <t>(R158)</t>
  </si>
  <si>
    <t>(R159)</t>
  </si>
  <si>
    <t>(R160)</t>
  </si>
  <si>
    <t>(R161)</t>
  </si>
  <si>
    <t>(R162)</t>
  </si>
  <si>
    <t>(R163)</t>
  </si>
  <si>
    <t>(R164)</t>
  </si>
  <si>
    <t>(R165)</t>
  </si>
  <si>
    <t>(R166)</t>
  </si>
  <si>
    <t>(R167)</t>
  </si>
  <si>
    <t>(R168)</t>
  </si>
  <si>
    <t>(R169)</t>
  </si>
  <si>
    <t>(R170)</t>
  </si>
  <si>
    <t>(R171)</t>
  </si>
  <si>
    <t>(R172)</t>
  </si>
  <si>
    <t>(R173)</t>
  </si>
  <si>
    <t>(R174)</t>
  </si>
  <si>
    <t>(R175)</t>
  </si>
  <si>
    <t>(R176)</t>
  </si>
  <si>
    <t>(R177)</t>
  </si>
  <si>
    <t>(R178)</t>
  </si>
  <si>
    <t>(R179)</t>
  </si>
  <si>
    <t>(R180)</t>
  </si>
  <si>
    <t>(R181)</t>
  </si>
  <si>
    <t>(R182)</t>
  </si>
  <si>
    <t>(R183)</t>
  </si>
  <si>
    <t>(R184)</t>
  </si>
  <si>
    <t>(R185)</t>
  </si>
  <si>
    <t>(R186)</t>
  </si>
  <si>
    <t>(R187)</t>
  </si>
  <si>
    <t>(R188)</t>
  </si>
  <si>
    <t>(R189)</t>
  </si>
  <si>
    <t>(R190)</t>
  </si>
  <si>
    <t>(R191)</t>
  </si>
  <si>
    <t>(R192)</t>
  </si>
  <si>
    <t>(R193)</t>
  </si>
  <si>
    <t>(R194)</t>
  </si>
  <si>
    <t>(R195)</t>
  </si>
  <si>
    <t>(R196)</t>
  </si>
  <si>
    <t>(R197)</t>
  </si>
  <si>
    <t>(R198)</t>
  </si>
  <si>
    <t>(R199)</t>
  </si>
  <si>
    <t>(R200)</t>
  </si>
  <si>
    <t>(R201)</t>
  </si>
  <si>
    <t>(R202)</t>
  </si>
  <si>
    <t>(R203)</t>
  </si>
  <si>
    <t>(R204)</t>
  </si>
  <si>
    <t>(R205)</t>
  </si>
  <si>
    <t>(R206)</t>
  </si>
  <si>
    <t>(R207)</t>
  </si>
  <si>
    <t>(R208)</t>
  </si>
  <si>
    <t>(R209)</t>
  </si>
  <si>
    <t>(R210)</t>
  </si>
  <si>
    <t>(R211)</t>
  </si>
  <si>
    <t>(R212)</t>
  </si>
  <si>
    <t>(R213)</t>
  </si>
  <si>
    <t>(R214)</t>
  </si>
  <si>
    <t>(R215)</t>
  </si>
  <si>
    <t>(R216)</t>
  </si>
  <si>
    <t>(R217)</t>
  </si>
  <si>
    <t>(R218)</t>
  </si>
  <si>
    <t>(R219)</t>
  </si>
  <si>
    <t>(R220)</t>
  </si>
  <si>
    <t>(R221)</t>
  </si>
  <si>
    <t>(R222)</t>
  </si>
  <si>
    <t>(R223)</t>
  </si>
  <si>
    <t>(R224)</t>
  </si>
  <si>
    <t>(R225)</t>
  </si>
  <si>
    <t>(R226)</t>
  </si>
  <si>
    <t>(R227)</t>
  </si>
  <si>
    <t>(R228)</t>
  </si>
  <si>
    <t>(R229)</t>
  </si>
  <si>
    <t>(R230)</t>
  </si>
  <si>
    <t>(R231)</t>
  </si>
  <si>
    <t>(R232)</t>
  </si>
  <si>
    <t>(R233)</t>
  </si>
  <si>
    <t>(R234)</t>
  </si>
  <si>
    <t>(R235)</t>
  </si>
  <si>
    <t>(R236)</t>
  </si>
  <si>
    <t>(R237)</t>
  </si>
  <si>
    <t>(R238)</t>
  </si>
  <si>
    <t>(R239)</t>
  </si>
  <si>
    <t>(R240)</t>
  </si>
  <si>
    <t>(R241)</t>
  </si>
  <si>
    <t>(R242)</t>
  </si>
  <si>
    <t>(R243)</t>
  </si>
  <si>
    <t>(R244)</t>
  </si>
  <si>
    <t>(R245)</t>
  </si>
  <si>
    <t>(R246)</t>
  </si>
  <si>
    <t>(R247)</t>
  </si>
  <si>
    <t>(R248)</t>
  </si>
  <si>
    <t>(R249)</t>
  </si>
  <si>
    <t>(R250)</t>
  </si>
  <si>
    <t>(R251)</t>
  </si>
  <si>
    <t>(R252)</t>
  </si>
  <si>
    <t>(R253)</t>
  </si>
  <si>
    <t>(R254)</t>
  </si>
  <si>
    <t>(R255)</t>
  </si>
  <si>
    <t>(R256)</t>
  </si>
  <si>
    <t>(R257)</t>
  </si>
  <si>
    <t>(R258)</t>
  </si>
  <si>
    <t>(R259)</t>
  </si>
  <si>
    <t>(R260)</t>
  </si>
  <si>
    <t>(R261)</t>
  </si>
  <si>
    <t>(R262)</t>
  </si>
  <si>
    <t>(R263)</t>
  </si>
  <si>
    <t>(R264)</t>
  </si>
  <si>
    <t>(R265)</t>
  </si>
  <si>
    <t>(R266)</t>
  </si>
  <si>
    <t>(R267)</t>
  </si>
  <si>
    <t>(R268)</t>
  </si>
  <si>
    <t>(R269)</t>
  </si>
  <si>
    <t>(R270)</t>
  </si>
  <si>
    <t>(R271)</t>
  </si>
  <si>
    <t>(R272)</t>
  </si>
  <si>
    <t>(R273)</t>
  </si>
  <si>
    <t>(R274)</t>
  </si>
  <si>
    <t>(R275)</t>
  </si>
  <si>
    <t>(R276)</t>
  </si>
  <si>
    <t>(R277)</t>
  </si>
  <si>
    <t>(R278)</t>
  </si>
  <si>
    <t>(R279)</t>
  </si>
  <si>
    <t>(R280)</t>
  </si>
  <si>
    <t>(R281)</t>
  </si>
  <si>
    <t>(R282)</t>
  </si>
  <si>
    <t>(R283)</t>
  </si>
  <si>
    <t>(R284)</t>
  </si>
  <si>
    <t>(R285)</t>
  </si>
  <si>
    <t>(R286)</t>
  </si>
  <si>
    <t>(R287)</t>
  </si>
  <si>
    <t>(R288)</t>
  </si>
  <si>
    <t>(R289)</t>
  </si>
  <si>
    <t>(R290)</t>
  </si>
  <si>
    <t>(R291)</t>
  </si>
  <si>
    <t>(R292)</t>
  </si>
  <si>
    <t>(R293)</t>
  </si>
  <si>
    <t>(R294)</t>
  </si>
  <si>
    <t>(R295)</t>
  </si>
  <si>
    <t>(R296)</t>
  </si>
  <si>
    <t>(R297)</t>
  </si>
  <si>
    <t>(R298)</t>
  </si>
  <si>
    <t>(R299)</t>
  </si>
  <si>
    <t>(R300)</t>
  </si>
  <si>
    <t>(R301)</t>
  </si>
  <si>
    <t>(R302)</t>
  </si>
  <si>
    <t>(R303)</t>
  </si>
  <si>
    <t>(R304)</t>
  </si>
  <si>
    <t>(R305)</t>
  </si>
  <si>
    <t>(R306)</t>
  </si>
  <si>
    <t>(R307)</t>
  </si>
  <si>
    <t>(R308)</t>
  </si>
  <si>
    <t>(R309)</t>
  </si>
  <si>
    <t>(R310)</t>
  </si>
  <si>
    <t>(R311)</t>
  </si>
  <si>
    <t>(R312)</t>
  </si>
  <si>
    <t>(R313)</t>
  </si>
  <si>
    <t>(R314)</t>
  </si>
  <si>
    <t>(R315)</t>
  </si>
  <si>
    <t>(R316)</t>
  </si>
  <si>
    <t>(R317)</t>
  </si>
  <si>
    <t>(R318)</t>
  </si>
  <si>
    <t>(R319)</t>
  </si>
  <si>
    <t>(R320)</t>
  </si>
  <si>
    <t>(R321)</t>
  </si>
  <si>
    <t>(R322)</t>
  </si>
  <si>
    <t>(R323)</t>
  </si>
  <si>
    <t>(R324)</t>
  </si>
  <si>
    <t>(R325)</t>
  </si>
  <si>
    <t>(R326)</t>
  </si>
  <si>
    <t>(R327)</t>
  </si>
  <si>
    <t>(R328)</t>
  </si>
  <si>
    <t>(R329)</t>
  </si>
  <si>
    <t>(R330)</t>
  </si>
  <si>
    <t>(R331)</t>
  </si>
  <si>
    <t>(R332)</t>
  </si>
  <si>
    <t>(R333)</t>
  </si>
  <si>
    <t>(R334)</t>
  </si>
  <si>
    <t>(R335)</t>
  </si>
  <si>
    <t>(R336)</t>
  </si>
  <si>
    <t>(R337)</t>
  </si>
  <si>
    <t>(R338)</t>
  </si>
  <si>
    <t>(R339)</t>
  </si>
  <si>
    <t>(R340)</t>
  </si>
  <si>
    <t>(R341)</t>
  </si>
  <si>
    <t>(R342)</t>
  </si>
  <si>
    <t>(R343)</t>
  </si>
  <si>
    <t>(R344)</t>
  </si>
  <si>
    <t>(R345)</t>
  </si>
  <si>
    <t>(R346)</t>
  </si>
  <si>
    <t>(R347)</t>
  </si>
  <si>
    <t>(R348)</t>
  </si>
  <si>
    <t>(R349)</t>
  </si>
  <si>
    <t>(R350)</t>
  </si>
  <si>
    <t>(R351)</t>
  </si>
  <si>
    <t>(R352)</t>
  </si>
  <si>
    <t>(R353)</t>
  </si>
  <si>
    <t>(R354)</t>
  </si>
  <si>
    <t>(R355)</t>
  </si>
  <si>
    <t>(R356)</t>
  </si>
  <si>
    <t>(R357)</t>
  </si>
  <si>
    <t>(R358)</t>
  </si>
  <si>
    <t>(R359)</t>
  </si>
  <si>
    <t>(R360)</t>
  </si>
  <si>
    <t>(R361)</t>
  </si>
  <si>
    <t>(R362)</t>
  </si>
  <si>
    <t>(R363)</t>
  </si>
  <si>
    <t>(R364)</t>
  </si>
  <si>
    <t>(R365)</t>
  </si>
  <si>
    <t>(R366)</t>
  </si>
  <si>
    <t>(R367)</t>
  </si>
  <si>
    <t>(R368)</t>
  </si>
  <si>
    <t>(R369)</t>
  </si>
  <si>
    <t>(R370)</t>
  </si>
  <si>
    <t>(R371)</t>
  </si>
  <si>
    <t>(R372)</t>
  </si>
  <si>
    <t>(R373)</t>
  </si>
  <si>
    <t>(R374)</t>
  </si>
  <si>
    <t>(R375)</t>
  </si>
  <si>
    <t>(R376)</t>
  </si>
  <si>
    <t>(R377)</t>
  </si>
  <si>
    <t>(R378)</t>
  </si>
  <si>
    <t>(R379)</t>
  </si>
  <si>
    <t>(R380)</t>
  </si>
  <si>
    <t>(R381)</t>
  </si>
  <si>
    <t>(R382)</t>
  </si>
  <si>
    <t>(R383)</t>
  </si>
  <si>
    <t>(R384)</t>
  </si>
  <si>
    <t>(R385)</t>
  </si>
  <si>
    <t>(R386)</t>
  </si>
  <si>
    <t>(R387)</t>
  </si>
  <si>
    <t>(R388)</t>
  </si>
  <si>
    <t>(R389)</t>
  </si>
  <si>
    <t>(R390)</t>
  </si>
  <si>
    <t>(R391)</t>
  </si>
  <si>
    <t>(R392)</t>
  </si>
  <si>
    <t>(R393)</t>
  </si>
  <si>
    <t>(R394)</t>
  </si>
  <si>
    <t>(R395)</t>
  </si>
  <si>
    <t>(R396)</t>
  </si>
  <si>
    <t>(R397)</t>
  </si>
  <si>
    <t>(R398)</t>
  </si>
  <si>
    <t>(R399)</t>
  </si>
  <si>
    <t>(R400)</t>
  </si>
  <si>
    <t>(R401)</t>
  </si>
  <si>
    <t>(R402)</t>
  </si>
  <si>
    <t>(R403)</t>
  </si>
  <si>
    <t>(R404)</t>
  </si>
  <si>
    <t>(R405)</t>
  </si>
  <si>
    <t>(R406)</t>
  </si>
  <si>
    <t>(R407)</t>
  </si>
  <si>
    <t>(R408)</t>
  </si>
  <si>
    <t>(R409)</t>
  </si>
  <si>
    <t>(R410)</t>
  </si>
  <si>
    <t>(R411)</t>
  </si>
  <si>
    <t>(R412)</t>
  </si>
  <si>
    <t>(R413)</t>
  </si>
  <si>
    <t>(R414)</t>
  </si>
  <si>
    <t>(R415)</t>
  </si>
  <si>
    <t>(R416)</t>
  </si>
  <si>
    <t>(R417)</t>
  </si>
  <si>
    <t>(R418)</t>
  </si>
  <si>
    <t>(R419)</t>
  </si>
  <si>
    <t>(R420)</t>
  </si>
  <si>
    <t>(R421)</t>
  </si>
  <si>
    <t>(R422)</t>
  </si>
  <si>
    <t>(R423)</t>
  </si>
  <si>
    <t>(R424)</t>
  </si>
  <si>
    <t>(R425)</t>
  </si>
  <si>
    <t>(R426)</t>
  </si>
  <si>
    <t>(R427)</t>
  </si>
  <si>
    <t>(R428)</t>
  </si>
  <si>
    <t>(R429)</t>
  </si>
  <si>
    <t>(R430)</t>
  </si>
  <si>
    <t>(R431)</t>
  </si>
  <si>
    <t>(R432)</t>
  </si>
  <si>
    <t>(R433)</t>
  </si>
  <si>
    <t>(R434)</t>
  </si>
  <si>
    <t>(R435)</t>
  </si>
  <si>
    <t>(R436)</t>
  </si>
  <si>
    <t>(R437)</t>
  </si>
  <si>
    <t>(R438)</t>
  </si>
  <si>
    <t>(R439)</t>
  </si>
  <si>
    <t>(R440)</t>
  </si>
  <si>
    <t>(R441)</t>
  </si>
  <si>
    <t>(R442)</t>
  </si>
  <si>
    <t>(R443)</t>
  </si>
  <si>
    <t>(R444)</t>
  </si>
  <si>
    <t>(R445)</t>
  </si>
  <si>
    <t>(R446)</t>
  </si>
  <si>
    <t>(R447)</t>
  </si>
  <si>
    <t>(R448)</t>
  </si>
  <si>
    <t>(R449)</t>
  </si>
  <si>
    <t>(R450)</t>
  </si>
  <si>
    <t>(R451)</t>
  </si>
  <si>
    <t>(R452)</t>
  </si>
  <si>
    <t>(R453)</t>
  </si>
  <si>
    <t>(R454)</t>
  </si>
  <si>
    <t>(R455)</t>
  </si>
  <si>
    <t>(R456)</t>
  </si>
  <si>
    <t>(R457)</t>
  </si>
  <si>
    <t>(R458)</t>
  </si>
  <si>
    <t>(R459)</t>
  </si>
  <si>
    <t>(R460)</t>
  </si>
  <si>
    <t>(R461)</t>
  </si>
  <si>
    <t>(R462)</t>
  </si>
  <si>
    <t>(R463)</t>
  </si>
  <si>
    <t>(R464)</t>
  </si>
  <si>
    <t>(R465)</t>
  </si>
  <si>
    <t>(R466)</t>
  </si>
  <si>
    <t>(R467)</t>
  </si>
  <si>
    <t>(R468)</t>
  </si>
  <si>
    <t>(R469)</t>
  </si>
  <si>
    <t>(R470)</t>
  </si>
  <si>
    <t>(R471)</t>
  </si>
  <si>
    <t>(R472)</t>
  </si>
  <si>
    <t>(R473)</t>
  </si>
  <si>
    <t>(R474)</t>
  </si>
  <si>
    <t>(R475)</t>
  </si>
  <si>
    <t>(R476)</t>
  </si>
  <si>
    <t>(R477)</t>
  </si>
  <si>
    <t>(R478)</t>
  </si>
  <si>
    <t>(R479)</t>
  </si>
  <si>
    <t>(R480)</t>
  </si>
  <si>
    <t>(R481)</t>
  </si>
  <si>
    <t>(R482)</t>
  </si>
  <si>
    <t>(R483)</t>
  </si>
  <si>
    <t>(R484)</t>
  </si>
  <si>
    <t>(R485)</t>
  </si>
  <si>
    <t>(R486)</t>
  </si>
  <si>
    <t>(R487)</t>
  </si>
  <si>
    <t>(R488)</t>
  </si>
  <si>
    <t>(R489)</t>
  </si>
  <si>
    <t>(R490)</t>
  </si>
  <si>
    <t>(R491)</t>
  </si>
  <si>
    <t>(R492)</t>
  </si>
  <si>
    <t>(R493)</t>
  </si>
  <si>
    <t>(R494)</t>
  </si>
  <si>
    <t>(R495)</t>
  </si>
  <si>
    <t>(R496)</t>
  </si>
  <si>
    <t>(R497)</t>
  </si>
  <si>
    <t>(R498)</t>
  </si>
  <si>
    <t>(R499)</t>
  </si>
  <si>
    <t>(R500)</t>
  </si>
  <si>
    <t>(R501)</t>
  </si>
  <si>
    <t>(R502)</t>
  </si>
  <si>
    <t>(R503)</t>
  </si>
  <si>
    <t>(R504)</t>
  </si>
  <si>
    <t>(R505)</t>
  </si>
  <si>
    <t>(R506)</t>
  </si>
  <si>
    <t>(R507)</t>
  </si>
  <si>
    <t>(R508)</t>
  </si>
  <si>
    <t>(R509)</t>
  </si>
  <si>
    <t>(R510)</t>
  </si>
  <si>
    <t>(R511)</t>
  </si>
  <si>
    <t>(R512)</t>
  </si>
  <si>
    <t>(R513)</t>
  </si>
  <si>
    <t>(R514)</t>
  </si>
  <si>
    <t>(R515)</t>
  </si>
  <si>
    <t>(R516)</t>
  </si>
  <si>
    <t>(R517)</t>
  </si>
  <si>
    <t>(R518)</t>
  </si>
  <si>
    <t>(R519)</t>
  </si>
  <si>
    <t>(R520)</t>
  </si>
  <si>
    <t>(R521)</t>
  </si>
  <si>
    <t>(R522)</t>
  </si>
  <si>
    <t>(R523)</t>
  </si>
  <si>
    <t>(R524)</t>
  </si>
  <si>
    <t>(R525)</t>
  </si>
  <si>
    <t>(R526)</t>
  </si>
  <si>
    <t>(R527)</t>
  </si>
  <si>
    <t>(R528)</t>
  </si>
  <si>
    <t>(R529)</t>
  </si>
  <si>
    <t>(R530)</t>
  </si>
  <si>
    <t>(R531)</t>
  </si>
  <si>
    <t>(R532)</t>
  </si>
  <si>
    <t>(R533)</t>
  </si>
  <si>
    <t>(R534)</t>
  </si>
  <si>
    <t>(R535)</t>
  </si>
  <si>
    <t>(R536)</t>
  </si>
  <si>
    <t>(R537)</t>
  </si>
  <si>
    <t>(R538)</t>
  </si>
  <si>
    <t>(R539)</t>
  </si>
  <si>
    <t>(R540)</t>
  </si>
  <si>
    <t>(R541)</t>
  </si>
  <si>
    <t>(R542)</t>
  </si>
  <si>
    <t>(R543)</t>
  </si>
  <si>
    <t>(R544)</t>
  </si>
  <si>
    <t>(R545)</t>
  </si>
  <si>
    <t>(R546)</t>
  </si>
  <si>
    <t>(R547)</t>
  </si>
  <si>
    <t>(R548)</t>
  </si>
  <si>
    <t>(R549)</t>
  </si>
  <si>
    <t>(R550)</t>
  </si>
  <si>
    <t>(R551)</t>
  </si>
  <si>
    <t>(R552)</t>
  </si>
  <si>
    <t>(R553)</t>
  </si>
  <si>
    <t>(R554)</t>
  </si>
  <si>
    <t>(R555)</t>
  </si>
  <si>
    <t>(R556)</t>
  </si>
  <si>
    <t>(R557)</t>
  </si>
  <si>
    <t>(R558)</t>
  </si>
  <si>
    <t>(R559)</t>
  </si>
  <si>
    <t>(R560)</t>
  </si>
  <si>
    <t>(R561)</t>
  </si>
  <si>
    <t>(R562)</t>
  </si>
  <si>
    <t>(R563)</t>
  </si>
  <si>
    <t>(R564)</t>
  </si>
  <si>
    <t>(R565)</t>
  </si>
  <si>
    <t>(R566)</t>
  </si>
  <si>
    <t>(R567)</t>
  </si>
  <si>
    <t>(R568)</t>
  </si>
  <si>
    <t>(R569)</t>
  </si>
  <si>
    <t>(R570)</t>
  </si>
  <si>
    <t>(R571)</t>
  </si>
  <si>
    <t>(R572)</t>
  </si>
  <si>
    <t>(R573)</t>
  </si>
  <si>
    <t>(R574)</t>
  </si>
  <si>
    <t>(R575)</t>
  </si>
  <si>
    <t>(R576)</t>
  </si>
  <si>
    <t>(R577)</t>
  </si>
  <si>
    <t>(R578)</t>
  </si>
  <si>
    <t>(R579)</t>
  </si>
  <si>
    <t>(R580)</t>
  </si>
  <si>
    <t>(R581)</t>
  </si>
  <si>
    <t>(R582)</t>
  </si>
  <si>
    <t>(R583)</t>
  </si>
  <si>
    <t>(R584)</t>
  </si>
  <si>
    <t>(R585)</t>
  </si>
  <si>
    <t>(R586)</t>
  </si>
  <si>
    <t>(R587)</t>
  </si>
  <si>
    <t>(R588)</t>
  </si>
  <si>
    <t>(R589)</t>
  </si>
  <si>
    <t>(R590)</t>
  </si>
  <si>
    <t>(R591)</t>
  </si>
  <si>
    <t>(R592)</t>
  </si>
  <si>
    <t>(R593)</t>
  </si>
  <si>
    <t>(R594)</t>
  </si>
  <si>
    <t>(R595)</t>
  </si>
  <si>
    <t>(R596)</t>
  </si>
  <si>
    <t>(R597)</t>
  </si>
  <si>
    <t>(R598)</t>
  </si>
  <si>
    <t>(R599)</t>
  </si>
  <si>
    <t>(R600)</t>
  </si>
  <si>
    <t>(R601)</t>
  </si>
  <si>
    <t>(R602)</t>
  </si>
  <si>
    <t>(R603)</t>
  </si>
  <si>
    <t>(R604)</t>
  </si>
  <si>
    <t>(R605)</t>
  </si>
  <si>
    <t>(R606)</t>
  </si>
  <si>
    <t>(R607)</t>
  </si>
  <si>
    <t>(R608)</t>
  </si>
  <si>
    <t>(R609)</t>
  </si>
  <si>
    <t>(R610)</t>
  </si>
  <si>
    <t>(R611)</t>
  </si>
  <si>
    <t>(R612)</t>
  </si>
  <si>
    <t>(R613)</t>
  </si>
  <si>
    <t>(R614)</t>
  </si>
  <si>
    <t>(R615)</t>
  </si>
  <si>
    <t>(R616)</t>
  </si>
  <si>
    <t>(R617)</t>
  </si>
  <si>
    <t>(R618)</t>
  </si>
  <si>
    <t>(R619)</t>
  </si>
  <si>
    <t>(R620)</t>
  </si>
  <si>
    <t>(R621)</t>
  </si>
  <si>
    <t>(R622)</t>
  </si>
  <si>
    <t>(R623)</t>
  </si>
  <si>
    <t>(R624)</t>
  </si>
  <si>
    <t>N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</si>
  <si>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</si>
  <si>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</si>
  <si>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t>O</t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</si>
  <si>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</si>
  <si>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</si>
  <si>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(A 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ckwell"/>
        <family val="1"/>
      </rPr>
      <t>∑</t>
    </r>
    <r>
      <rPr>
        <sz val="11"/>
        <color theme="1"/>
        <rFont val="Roboto"/>
        <family val="2"/>
        <charset val="204"/>
        <scheme val="minor"/>
      </rPr>
      <t>)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</si>
  <si>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(B 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ckwell"/>
        <family val="1"/>
      </rPr>
      <t>∏</t>
    </r>
    <r>
      <rPr>
        <sz val="11"/>
        <color theme="1"/>
        <rFont val="Roboto"/>
        <family val="2"/>
        <charset val="204"/>
        <scheme val="minor"/>
      </rPr>
      <t>)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</si>
  <si>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</si>
  <si>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</si>
  <si>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O(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D)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</si>
  <si>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a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ckwell"/>
        <family val="1"/>
      </rPr>
      <t>∆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</si>
  <si>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</si>
  <si>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</si>
  <si>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</si>
  <si>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</si>
  <si>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+</t>
    </r>
  </si>
  <si>
    <t>H</t>
  </si>
  <si>
    <t>OH</t>
  </si>
  <si>
    <r>
      <t>3.34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-0.06 exp(-8.50/ε)</t>
    </r>
  </si>
  <si>
    <r>
      <t>8.44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-0.33 exp(-9.15/ε)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</si>
  <si>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1.90 exp(-14.6/ε)</t>
    </r>
  </si>
  <si>
    <r>
      <t>5.06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 xml:space="preserve"> exp(-10.8/ε × 3.95)</t>
    </r>
  </si>
  <si>
    <r>
      <t>1.45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2.58 exp(-8.54ε)</t>
    </r>
  </si>
  <si>
    <r>
      <t>2.03 × 10</t>
    </r>
    <r>
      <rPr>
        <vertAlign val="superscript"/>
        <sz val="11"/>
        <color theme="1"/>
        <rFont val="Roboto"/>
        <charset val="204"/>
        <scheme val="minor"/>
      </rPr>
      <t>-14</t>
    </r>
    <r>
      <rPr>
        <sz val="11"/>
        <color theme="1"/>
        <rFont val="Roboto"/>
        <family val="2"/>
        <charset val="204"/>
        <scheme val="minor"/>
      </rPr>
      <t>ε  ×  -0.10 exp(-8.47/ε)</t>
    </r>
  </si>
  <si>
    <r>
      <t>1.82 × 10</t>
    </r>
    <r>
      <rPr>
        <vertAlign val="superscript"/>
        <sz val="11"/>
        <color theme="1"/>
        <rFont val="Roboto"/>
        <charset val="204"/>
        <scheme val="minor"/>
      </rPr>
      <t>-14</t>
    </r>
    <r>
      <rPr>
        <sz val="11"/>
        <color theme="1"/>
        <rFont val="Roboto"/>
        <family val="2"/>
        <charset val="204"/>
        <scheme val="minor"/>
      </rPr>
      <t>ε  ×  -0.13 exp(-10.7/ε)</t>
    </r>
  </si>
  <si>
    <r>
      <t>1.04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 xml:space="preserve"> exp(-2.59/ε)</t>
    </r>
  </si>
  <si>
    <r>
      <t>9.54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ε  ×  -1.05 exp(-55.6/ε)</t>
    </r>
  </si>
  <si>
    <r>
      <t>1.78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ε  ×  -0.614 exp(-11.5/ε)</t>
    </r>
  </si>
  <si>
    <r>
      <t>7.46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 xml:space="preserve"> exp(-5.58/ε × 1.47)</t>
    </r>
  </si>
  <si>
    <r>
      <t>4.75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0.61 exp(-22.1/ε)</t>
    </r>
  </si>
  <si>
    <r>
      <t>9.65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family val="2"/>
        <charset val="204"/>
        <scheme val="minor"/>
      </rPr>
      <t>ε  ×  2.53 exp(-8.99/ε)</t>
    </r>
  </si>
  <si>
    <r>
      <t>9.89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ε  ×  -1.64 exp(-67.6/ε)</t>
    </r>
  </si>
  <si>
    <r>
      <t>7.45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0.34 exp(-54.2/ε)</t>
    </r>
  </si>
  <si>
    <r>
      <t>7.4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0.45 exp(-55.5/ε)</t>
    </r>
  </si>
  <si>
    <r>
      <t>8.49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-1.23 exp(-74.0/ε)</t>
    </r>
  </si>
  <si>
    <r>
      <t>5.15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0.62 exp(-10.9/ε)</t>
    </r>
  </si>
  <si>
    <r>
      <t>5.19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family val="2"/>
        <charset val="204"/>
        <scheme val="minor"/>
      </rPr>
      <t>ε  ×  1.2 exp(-13.8/ε)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</si>
  <si>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5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</si>
  <si>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</si>
  <si>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</si>
  <si>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4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</si>
  <si>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</si>
  <si>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4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</si>
  <si>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</si>
  <si>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</si>
  <si>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</si>
  <si>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</si>
  <si>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rPr>
        <sz val="11"/>
        <color theme="1"/>
        <rFont val="Roboto"/>
        <charset val="204"/>
        <scheme val="minor"/>
      </rP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charset val="204"/>
        <scheme val="minor"/>
      </rPr>
      <t xml:space="preserve"> 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</si>
  <si>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</si>
  <si>
    <r>
      <rPr>
        <sz val="11"/>
        <color theme="1"/>
        <rFont val="Roboto"/>
        <charset val="204"/>
        <scheme val="minor"/>
      </rPr>
      <t>H</t>
    </r>
    <r>
      <rPr>
        <vertAlign val="subscript"/>
        <sz val="11"/>
        <color theme="1"/>
        <rFont val="Roboto"/>
        <charset val="204"/>
        <scheme val="minor"/>
      </rPr>
      <t>2</t>
    </r>
  </si>
  <si>
    <t>M</t>
  </si>
  <si>
    <t>NO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</si>
  <si>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</si>
  <si>
    <t>[9]</t>
  </si>
  <si>
    <t>[11]</t>
  </si>
  <si>
    <r>
      <t>3.29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0.578 exp(-7.56/ε)</t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</si>
  <si>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2.13 exp(-14.9/ε)</t>
    </r>
  </si>
  <si>
    <r>
      <t>2.43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2.77 exp(-5.62/ε)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</si>
  <si>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</si>
  <si>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</si>
  <si>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</si>
  <si>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</si>
  <si>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</si>
  <si>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</si>
  <si>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2</t>
    </r>
  </si>
  <si>
    <t>[16]</t>
  </si>
  <si>
    <t>c</t>
  </si>
  <si>
    <t>[17]</t>
  </si>
  <si>
    <r>
      <t>3.12 × 10</t>
    </r>
    <r>
      <rPr>
        <vertAlign val="superscript"/>
        <sz val="11"/>
        <color theme="1"/>
        <rFont val="Roboto"/>
        <charset val="204"/>
        <scheme val="minor"/>
      </rPr>
      <t>-35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1.5</t>
    </r>
  </si>
  <si>
    <r>
      <t>1.66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</si>
  <si>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</si>
  <si>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3.46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</si>
  <si>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4.73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0.53</t>
    </r>
  </si>
  <si>
    <r>
      <t>1.68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</si>
  <si>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1.24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</si>
  <si>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2.42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</si>
  <si>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1.07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0.85</t>
    </r>
  </si>
  <si>
    <r>
      <t>4.28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0.85</t>
    </r>
  </si>
  <si>
    <r>
      <t>1.86 × 10</t>
    </r>
    <r>
      <rPr>
        <vertAlign val="superscript"/>
        <sz val="11"/>
        <color theme="1"/>
        <rFont val="Roboto"/>
        <charset val="204"/>
        <scheme val="minor"/>
      </rPr>
      <t>-13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0.43</t>
    </r>
  </si>
  <si>
    <r>
      <t>5.20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</si>
  <si>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1.14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0.97</t>
    </r>
  </si>
  <si>
    <r>
      <t>2.73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</si>
  <si>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1.37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</si>
  <si>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5.46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</si>
  <si>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-31 </t>
    </r>
    <r>
      <rPr>
        <sz val="11"/>
        <color theme="1"/>
        <rFont val="Roboto"/>
        <family val="2"/>
        <charset val="204"/>
        <scheme val="minor"/>
      </rPr>
      <t>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4.5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</si>
  <si>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-43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</si>
  <si>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</si>
  <si>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 xml:space="preserve">e </t>
    </r>
    <r>
      <rPr>
        <sz val="11"/>
        <color theme="1"/>
        <rFont val="Roboto"/>
        <charset val="204"/>
        <scheme val="minor"/>
      </rPr>
      <t>exp(-600/T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 × exp{700(T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 xml:space="preserve"> − 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)/(T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)}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</si>
  <si>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</t>
    </r>
    <r>
      <rPr>
        <vertAlign val="subscript"/>
        <sz val="11"/>
        <color theme="1"/>
        <rFont val="Roboto"/>
        <charset val="204"/>
        <scheme val="minor"/>
      </rPr>
      <t xml:space="preserve"> </t>
    </r>
    <r>
      <rPr>
        <sz val="11"/>
        <color theme="1"/>
        <rFont val="Roboto"/>
        <charset val="204"/>
        <scheme val="minor"/>
      </rPr>
      <t>exp(-70/T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 × exp{1500(T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 xml:space="preserve"> − 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)/(T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)}</t>
    </r>
  </si>
  <si>
    <r>
      <t>2.63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-0.495 exp(-5.65/ε)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</si>
  <si>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</si>
  <si>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9.72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-1.62 exp(-14.2/ε) for ε &gt; 1.1
2.78 × 10</t>
    </r>
    <r>
      <rPr>
        <vertAlign val="superscript"/>
        <sz val="11"/>
        <color theme="1"/>
        <rFont val="Roboto"/>
        <charset val="204"/>
        <scheme val="minor"/>
      </rPr>
      <t>−20</t>
    </r>
    <r>
      <rPr>
        <sz val="11"/>
        <color theme="1"/>
        <rFont val="Roboto"/>
        <family val="2"/>
        <charset val="204"/>
        <scheme val="minor"/>
      </rPr>
      <t xml:space="preserve"> for ε &lt; 1.1</t>
    </r>
  </si>
  <si>
    <t>е</t>
  </si>
  <si>
    <t>NO2</t>
  </si>
  <si>
    <t>→</t>
  </si>
  <si>
    <t>М</t>
  </si>
  <si>
    <t>OН</t>
  </si>
  <si>
    <t>Н</t>
  </si>
  <si>
    <t>O2</t>
  </si>
  <si>
    <t>Oз</t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</si>
  <si>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</si>
  <si>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</si>
  <si>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</si>
  <si>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</si>
  <si>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Н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</si>
  <si>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НNO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</si>
  <si>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ckwell"/>
        <family val="1"/>
      </rPr>
      <t>∆</t>
    </r>
    <r>
      <rPr>
        <sz val="11"/>
        <color theme="1"/>
        <rFont val="Roboto"/>
        <family val="2"/>
        <charset val="204"/>
        <scheme val="minor"/>
      </rPr>
      <t>)</t>
    </r>
  </si>
  <si>
    <r>
      <t>Н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</si>
  <si>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</si>
  <si>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</si>
  <si>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</si>
  <si>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</si>
  <si>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</si>
  <si>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</si>
  <si>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</si>
  <si>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-43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</si>
  <si>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</si>
  <si>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-42</t>
    </r>
  </si>
  <si>
    <t>[18]</t>
  </si>
  <si>
    <t>[8]</t>
  </si>
  <si>
    <r>
      <t>4.42 × 10</t>
    </r>
    <r>
      <rPr>
        <vertAlign val="superscript"/>
        <sz val="11"/>
        <color theme="1"/>
        <rFont val="Roboto"/>
        <charset val="204"/>
        <scheme val="minor"/>
      </rPr>
      <t>-14</t>
    </r>
    <r>
      <rPr>
        <sz val="11"/>
        <color theme="1"/>
        <rFont val="Roboto"/>
        <family val="2"/>
        <charset val="204"/>
        <scheme val="minor"/>
      </rPr>
      <t>ε  ×  -2.0 exp(-13.39/ε)</t>
    </r>
  </si>
  <si>
    <r>
      <t>2.97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-1.56 exp(-13.67/ε)</t>
    </r>
  </si>
  <si>
    <r>
      <t>9.6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-1.70 exp(-13.31/ε)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</si>
  <si>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</si>
  <si>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</si>
  <si>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-14</t>
    </r>
  </si>
  <si>
    <r>
      <t>2.6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</si>
  <si>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</si>
  <si>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</si>
  <si>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</si>
  <si>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HO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</si>
  <si>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</si>
  <si>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</si>
  <si>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</si>
  <si>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1.9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/300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  <r>
      <rPr>
        <vertAlign val="subscript"/>
        <sz val="11"/>
        <color theme="1"/>
        <rFont val="Roboto"/>
        <charset val="204"/>
        <scheme val="minor"/>
      </rPr>
      <t xml:space="preserve"> </t>
    </r>
    <r>
      <rPr>
        <sz val="11"/>
        <color theme="1"/>
        <rFont val="Roboto"/>
        <charset val="204"/>
        <scheme val="minor"/>
      </rPr>
      <t>exp(-4990/T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</si>
  <si>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</si>
  <si>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2.5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</si>
  <si>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</si>
  <si>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2.7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/300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  <r>
      <rPr>
        <vertAlign val="subscript"/>
        <sz val="11"/>
        <color theme="1"/>
        <rFont val="Roboto"/>
        <charset val="204"/>
        <scheme val="minor"/>
      </rPr>
      <t xml:space="preserve"> </t>
    </r>
    <r>
      <rPr>
        <sz val="11"/>
        <color theme="1"/>
        <rFont val="Roboto"/>
        <charset val="204"/>
        <scheme val="minor"/>
      </rPr>
      <t>exp(-5590/T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</si>
  <si>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>-15</t>
    </r>
  </si>
  <si>
    <t>[19]</t>
  </si>
  <si>
    <r>
      <t>2.3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</si>
  <si>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2.40 × 10</t>
    </r>
    <r>
      <rPr>
        <vertAlign val="superscript"/>
        <sz val="11"/>
        <color theme="1"/>
        <rFont val="Roboto"/>
        <charset val="204"/>
        <scheme val="minor"/>
      </rPr>
      <t>-19</t>
    </r>
  </si>
  <si>
    <t>[20]</t>
  </si>
  <si>
    <r>
      <t>5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</si>
  <si>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5.1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</si>
  <si>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</si>
  <si>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</si>
  <si>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НO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</si>
  <si>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</si>
  <si>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+3</t>
    </r>
  </si>
  <si>
    <r>
      <t>OН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</si>
  <si>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Н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</si>
  <si>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1.2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</si>
  <si>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</si>
  <si>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-41</t>
    </r>
  </si>
  <si>
    <r>
      <t>4.6 × 10</t>
    </r>
    <r>
      <rPr>
        <vertAlign val="superscript"/>
        <sz val="11"/>
        <color theme="1"/>
        <rFont val="Roboto"/>
        <charset val="204"/>
        <scheme val="minor"/>
      </rPr>
      <t>-41</t>
    </r>
  </si>
  <si>
    <t>[21]</t>
  </si>
  <si>
    <r>
      <t>5.5 × 10</t>
    </r>
    <r>
      <rPr>
        <vertAlign val="superscript"/>
        <sz val="11"/>
        <color theme="1"/>
        <rFont val="Roboto"/>
        <charset val="204"/>
        <scheme val="minor"/>
      </rPr>
      <t>-16</t>
    </r>
  </si>
  <si>
    <t>[22]</t>
  </si>
  <si>
    <r>
      <t>4.72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</si>
  <si>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8.33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</si>
  <si>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</si>
  <si>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</si>
  <si>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3.4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</si>
  <si>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1.19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</si>
  <si>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</si>
  <si>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</si>
  <si>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t>[23]</t>
  </si>
  <si>
    <t>[24]</t>
  </si>
  <si>
    <t>[25]</t>
  </si>
  <si>
    <r>
      <t>N</t>
    </r>
    <r>
      <rPr>
        <vertAlign val="subscript"/>
        <sz val="11"/>
        <color theme="1"/>
        <rFont val="Roboto"/>
        <family val="2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(A </t>
    </r>
    <r>
      <rPr>
        <vertAlign val="superscript"/>
        <sz val="11"/>
        <color theme="1"/>
        <rFont val="Roboto"/>
        <family val="2"/>
        <charset val="204"/>
        <scheme val="minor"/>
      </rPr>
      <t>3</t>
    </r>
    <r>
      <rPr>
        <sz val="11"/>
        <color theme="1"/>
        <rFont val="Rockwell"/>
        <family val="1"/>
      </rPr>
      <t>∑</t>
    </r>
    <r>
      <rPr>
        <sz val="11"/>
        <color theme="1"/>
        <rFont val="Roboto"/>
        <family val="2"/>
        <charset val="204"/>
        <scheme val="minor"/>
      </rPr>
      <t>)</t>
    </r>
  </si>
  <si>
    <t>^</t>
  </si>
  <si>
    <t>→-</t>
  </si>
  <si>
    <t>HNO</t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</si>
  <si>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</si>
  <si>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</si>
  <si>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D)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</si>
  <si>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4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</si>
  <si>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</si>
  <si>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sz val="11"/>
        <color theme="1"/>
        <rFont val="Roboto"/>
        <family val="2"/>
        <charset val="204"/>
        <scheme val="minor"/>
      </rPr>
      <t>O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</si>
  <si>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</si>
  <si>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</si>
  <si>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</si>
  <si>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5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</si>
  <si>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</si>
  <si>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</si>
  <si>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</si>
  <si>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</si>
  <si>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</si>
  <si>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</si>
  <si>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</si>
  <si>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</si>
  <si>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</si>
  <si>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</si>
  <si>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</si>
  <si>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</si>
  <si>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</si>
  <si>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</si>
  <si>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</si>
  <si>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(A 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∑)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</si>
  <si>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 1∆)</t>
    </r>
  </si>
  <si>
    <r>
      <t>O(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D)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</si>
  <si>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</si>
  <si>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</si>
  <si>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</si>
  <si>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4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</si>
  <si>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</si>
  <si>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</si>
  <si>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HNO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</si>
  <si>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</si>
  <si>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</si>
  <si>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</si>
  <si>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</si>
  <si>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</si>
  <si>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</si>
  <si>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</si>
  <si>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</si>
  <si>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6.6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</si>
  <si>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</si>
  <si>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4.4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</si>
  <si>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</si>
  <si>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charset val="204"/>
        <scheme val="minor"/>
      </rPr>
      <t xml:space="preserve"> exp(T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/121)</t>
    </r>
  </si>
  <si>
    <r>
      <t>2.5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</si>
  <si>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</si>
  <si>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charset val="204"/>
        <scheme val="minor"/>
      </rPr>
      <t xml:space="preserve"> exp(-1800/T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</si>
  <si>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</si>
  <si>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</si>
  <si>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</si>
  <si>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</si>
  <si>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</si>
  <si>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6.3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</si>
  <si>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</si>
  <si>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1.6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</si>
  <si>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6.8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</si>
  <si>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1.7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</si>
  <si>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</si>
  <si>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</si>
  <si>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</si>
  <si>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5.5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2.7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</si>
  <si>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-23</t>
    </r>
  </si>
  <si>
    <r>
      <t>8.8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</si>
  <si>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4.6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</si>
  <si>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6.6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</si>
  <si>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 xml:space="preserve">-12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 xml:space="preserve">4 </t>
    </r>
    <r>
      <rPr>
        <sz val="11"/>
        <color theme="1"/>
        <rFont val="Roboto"/>
        <charset val="204"/>
        <scheme val="minor"/>
      </rPr>
      <t>exp(-5030/T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</si>
  <si>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6.80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</si>
  <si>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 xml:space="preserve">-42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</si>
  <si>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</si>
  <si>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</si>
  <si>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</si>
  <si>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3.5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</si>
  <si>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3.5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</si>
  <si>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</si>
  <si>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8.4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</si>
  <si>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exp(-1044/T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</si>
  <si>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1.2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</si>
  <si>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4.29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</si>
  <si>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2.21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</si>
  <si>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4.59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</si>
  <si>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2.24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</si>
  <si>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5.9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</si>
  <si>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-21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</si>
  <si>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</si>
  <si>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>-20</t>
    </r>
  </si>
  <si>
    <r>
      <t>2.75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</si>
  <si>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</si>
  <si>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</si>
  <si>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</si>
  <si>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-21</t>
    </r>
  </si>
  <si>
    <r>
      <t>3.8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</si>
  <si>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1.17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</si>
  <si>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</si>
  <si>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3.1 × 10</t>
    </r>
    <r>
      <rPr>
        <vertAlign val="superscript"/>
        <sz val="11"/>
        <color theme="1"/>
        <rFont val="Roboto"/>
        <charset val="204"/>
        <scheme val="minor"/>
      </rPr>
      <t>-41</t>
    </r>
  </si>
  <si>
    <r>
      <t>8.2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</si>
  <si>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</si>
  <si>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2.9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</si>
  <si>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3.8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</si>
  <si>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7.83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</si>
  <si>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6.4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</si>
  <si>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</si>
  <si>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3.43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</si>
  <si>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3.86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</si>
  <si>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5.2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</si>
  <si>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2.13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</si>
  <si>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9.7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</si>
  <si>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</si>
  <si>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</si>
  <si>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1.59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</si>
  <si>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4.3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</si>
  <si>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</si>
  <si>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7.6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</si>
  <si>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5.5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</si>
  <si>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</si>
  <si>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 xml:space="preserve">-13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</si>
  <si>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-13</t>
    </r>
  </si>
  <si>
    <r>
      <t>8.3 × 10</t>
    </r>
    <r>
      <rPr>
        <vertAlign val="superscript"/>
        <sz val="11"/>
        <color theme="1"/>
        <rFont val="Roboto"/>
        <charset val="204"/>
        <scheme val="minor"/>
      </rPr>
      <t xml:space="preserve">-46 </t>
    </r>
    <r>
      <rPr>
        <sz val="11"/>
        <color theme="1"/>
        <rFont val="Roboto"/>
        <charset val="204"/>
        <scheme val="minor"/>
      </rPr>
      <t>exp(500/T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</si>
  <si>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exp(100/T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</si>
  <si>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exp(220/T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</si>
  <si>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9.1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</si>
  <si>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</si>
  <si>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</si>
  <si>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6.3 × 10</t>
    </r>
    <r>
      <rPr>
        <vertAlign val="superscript"/>
        <sz val="11"/>
        <color theme="1"/>
        <rFont val="Roboto"/>
        <charset val="204"/>
        <scheme val="minor"/>
      </rPr>
      <t xml:space="preserve">-45 </t>
    </r>
    <r>
      <rPr>
        <sz val="11"/>
        <color theme="1"/>
        <rFont val="Roboto"/>
        <charset val="204"/>
        <scheme val="minor"/>
      </rPr>
      <t>exp(140/T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</si>
  <si>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</si>
  <si>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-22</t>
    </r>
  </si>
  <si>
    <r>
      <t>7.5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</si>
  <si>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1.7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</si>
  <si>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exp(-1620/T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</si>
  <si>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</si>
  <si>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</si>
  <si>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</si>
  <si>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</si>
  <si>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</si>
  <si>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</si>
  <si>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-20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</si>
  <si>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</si>
  <si>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</si>
  <si>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exp(-210/T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</si>
  <si>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</si>
  <si>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-20</t>
    </r>
  </si>
  <si>
    <r>
      <t>1.25 × 10</t>
    </r>
    <r>
      <rPr>
        <vertAlign val="superscript"/>
        <sz val="11"/>
        <color theme="1"/>
        <rFont val="Roboto"/>
        <charset val="204"/>
        <scheme val="minor"/>
      </rPr>
      <t>5</t>
    </r>
  </si>
  <si>
    <r>
      <t>2.5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</si>
  <si>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3.2 × 10</t>
    </r>
    <r>
      <rPr>
        <vertAlign val="superscript"/>
        <sz val="11"/>
        <color theme="1"/>
        <rFont val="Roboto"/>
        <charset val="204"/>
        <scheme val="minor"/>
      </rPr>
      <t xml:space="preserve">-47 </t>
    </r>
    <r>
      <rPr>
        <sz val="11"/>
        <color theme="1"/>
        <rFont val="Roboto"/>
        <charset val="204"/>
        <scheme val="minor"/>
      </rPr>
      <t>exp(900/T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</si>
  <si>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3.4 × 10</t>
    </r>
    <r>
      <rPr>
        <vertAlign val="superscript"/>
        <sz val="11"/>
        <color theme="1"/>
        <rFont val="Roboto"/>
        <charset val="204"/>
        <scheme val="minor"/>
      </rPr>
      <t xml:space="preserve">-46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1.2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</si>
  <si>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exp(-2060/T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</si>
  <si>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1.6</t>
    </r>
  </si>
  <si>
    <r>
      <t>6.5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exp(120/T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</si>
  <si>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9 × 10</t>
    </r>
    <r>
      <rPr>
        <vertAlign val="superscript"/>
        <sz val="11"/>
        <color theme="1"/>
        <rFont val="Roboto"/>
        <charset val="204"/>
        <scheme val="minor"/>
      </rPr>
      <t xml:space="preserve">-44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</t>
    </r>
  </si>
  <si>
    <r>
      <t>1.7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</si>
  <si>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1.62 × 10</t>
    </r>
    <r>
      <rPr>
        <vertAlign val="superscript"/>
        <sz val="11"/>
        <color theme="1"/>
        <rFont val="Roboto"/>
        <charset val="204"/>
        <scheme val="minor"/>
      </rPr>
      <t>-44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</si>
  <si>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</si>
  <si>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exp(-2950/T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</si>
  <si>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8.3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</si>
  <si>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5.99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</si>
  <si>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</si>
  <si>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6.4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exp(67/T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</si>
  <si>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</si>
  <si>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exp(107/T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</si>
  <si>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9 × 10</t>
    </r>
    <r>
      <rPr>
        <vertAlign val="superscript"/>
        <sz val="11"/>
        <color theme="1"/>
        <rFont val="Roboto"/>
        <charset val="204"/>
        <scheme val="minor"/>
      </rPr>
      <t>-49</t>
    </r>
  </si>
  <si>
    <r>
      <t>7.2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</si>
  <si>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</si>
  <si>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</si>
  <si>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3.8 × 10</t>
    </r>
    <r>
      <rPr>
        <vertAlign val="superscript"/>
        <sz val="11"/>
        <color theme="1"/>
        <rFont val="Roboto"/>
        <charset val="204"/>
        <scheme val="minor"/>
      </rPr>
      <t xml:space="preserve">-24 </t>
    </r>
    <r>
      <rPr>
        <sz val="11"/>
        <color theme="1"/>
        <rFont val="Roboto"/>
        <charset val="204"/>
        <scheme val="minor"/>
      </rPr>
      <t>exp(-205/T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</si>
  <si>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exp(-2840/T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</si>
  <si>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-27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</si>
  <si>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-24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</si>
  <si>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exp(-1370/T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</si>
  <si>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exp(-2470/T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</si>
  <si>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3.92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exp(-11400/T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</si>
  <si>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0.75</t>
    </r>
  </si>
  <si>
    <r>
      <t>1.6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</si>
  <si>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-20 </t>
    </r>
    <r>
      <rPr>
        <sz val="11"/>
        <color theme="1"/>
        <rFont val="Roboto"/>
        <charset val="204"/>
        <scheme val="minor"/>
      </rPr>
      <t>exp(-600/T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</si>
  <si>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3.09 × 10</t>
    </r>
    <r>
      <rPr>
        <vertAlign val="superscript"/>
        <sz val="11"/>
        <color theme="1"/>
        <rFont val="Roboto"/>
        <charset val="204"/>
        <scheme val="minor"/>
      </rPr>
      <t xml:space="preserve">-46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7.7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</si>
  <si>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exp(110/T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</si>
  <si>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7.4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2.4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</si>
  <si>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-44 </t>
    </r>
    <r>
      <rPr>
        <sz val="11"/>
        <color theme="1"/>
        <rFont val="Roboto"/>
        <charset val="204"/>
        <scheme val="minor"/>
      </rPr>
      <t>exp(300/T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</si>
  <si>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3.4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exp(270/T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</si>
  <si>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exp(-1000/T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</si>
  <si>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1.17 × 10</t>
    </r>
    <r>
      <rPr>
        <vertAlign val="superscript"/>
        <sz val="11"/>
        <color theme="1"/>
        <rFont val="Roboto"/>
        <charset val="204"/>
        <scheme val="minor"/>
      </rPr>
      <t xml:space="preserve">-45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3.8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</si>
  <si>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 xml:space="preserve">-42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3.5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</si>
  <si>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exp(-1600/T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</si>
  <si>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</si>
  <si>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-42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2.9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</si>
  <si>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exp(-3000/T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</si>
  <si>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5.8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exp(-750/T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</si>
  <si>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4.8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</si>
  <si>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9.2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</si>
  <si>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1.03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exp(-2628/T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</si>
  <si>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1.09 × 10</t>
    </r>
    <r>
      <rPr>
        <vertAlign val="superscript"/>
        <sz val="11"/>
        <color theme="1"/>
        <rFont val="Roboto"/>
        <charset val="204"/>
        <scheme val="minor"/>
      </rPr>
      <t xml:space="preserve">-13 </t>
    </r>
    <r>
      <rPr>
        <sz val="11"/>
        <color theme="1"/>
        <rFont val="Roboto"/>
        <charset val="204"/>
        <scheme val="minor"/>
      </rPr>
      <t>exp(-4952/T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</si>
  <si>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-9 </t>
    </r>
    <r>
      <rPr>
        <sz val="11"/>
        <color theme="1"/>
        <rFont val="Roboto"/>
        <charset val="204"/>
        <scheme val="minor"/>
      </rPr>
      <t>(300/T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3.5</t>
    </r>
    <r>
      <rPr>
        <sz val="11"/>
        <color theme="1"/>
        <rFont val="Roboto"/>
        <charset val="204"/>
        <scheme val="minor"/>
      </rPr>
      <t>exp(-11000/T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</si>
  <si>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5.4 × 10</t>
    </r>
    <r>
      <rPr>
        <vertAlign val="superscript"/>
        <sz val="11"/>
        <color theme="1"/>
        <rFont val="Roboto"/>
        <charset val="204"/>
        <scheme val="minor"/>
      </rPr>
      <t xml:space="preserve">-44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-1.8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</si>
  <si>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-42 </t>
    </r>
    <r>
      <rPr>
        <sz val="11"/>
        <color theme="1"/>
        <rFont val="Roboto"/>
        <charset val="204"/>
        <scheme val="minor"/>
      </rPr>
      <t xml:space="preserve">/ 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/>
    </r>
  </si>
  <si>
    <r>
      <t>6.1 × 10</t>
    </r>
    <r>
      <rPr>
        <vertAlign val="superscript"/>
        <sz val="11"/>
        <color theme="1"/>
        <rFont val="Roboto"/>
        <charset val="204"/>
        <scheme val="minor"/>
      </rPr>
      <t xml:space="preserve">-38 </t>
    </r>
    <r>
      <rPr>
        <sz val="11"/>
        <color theme="1"/>
        <rFont val="Roboto"/>
        <charset val="204"/>
        <scheme val="minor"/>
      </rPr>
      <t xml:space="preserve">/ 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vertAlign val="superscript"/>
        <sz val="11"/>
        <color theme="1"/>
        <rFont val="Roboto"/>
        <charset val="204"/>
        <scheme val="minor"/>
      </rPr>
      <t>2</t>
    </r>
  </si>
  <si>
    <r>
      <t>1.69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exp(-1800/T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</si>
  <si>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exp(-1900/T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</si>
  <si>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5.6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</si>
  <si>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2.4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</si>
  <si>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4.2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exp(-950/T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</si>
  <si>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</si>
  <si>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exp(-3700/T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</si>
  <si>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1.39 × 10</t>
    </r>
    <r>
      <rPr>
        <vertAlign val="superscript"/>
        <sz val="11"/>
        <color theme="1"/>
        <rFont val="Roboto"/>
        <charset val="204"/>
        <scheme val="minor"/>
      </rPr>
      <t xml:space="preserve">-20 </t>
    </r>
    <r>
      <rPr>
        <sz val="11"/>
        <color theme="1"/>
        <rFont val="Roboto"/>
        <charset val="204"/>
        <scheme val="minor"/>
      </rPr>
      <t>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/298)</t>
    </r>
    <r>
      <rPr>
        <vertAlign val="superscript"/>
        <sz val="11"/>
        <color theme="1"/>
        <rFont val="Roboto"/>
        <charset val="204"/>
        <scheme val="minor"/>
      </rPr>
      <t xml:space="preserve">3.29 </t>
    </r>
    <r>
      <rPr>
        <sz val="11"/>
        <color theme="1"/>
        <rFont val="Roboto"/>
        <charset val="204"/>
        <scheme val="minor"/>
      </rPr>
      <t>exp(-3160/T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</si>
  <si>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exp(-2600/T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</si>
  <si>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exp(-503/T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</si>
  <si>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6.9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-0.8</t>
    </r>
  </si>
  <si>
    <r>
      <t>4.8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exp(250/T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</si>
  <si>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2.9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</si>
  <si>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</si>
  <si>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exp(-390/T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</si>
  <si>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-20 </t>
    </r>
    <r>
      <rPr>
        <sz val="11"/>
        <color theme="1"/>
        <rFont val="Roboto"/>
        <charset val="204"/>
        <scheme val="minor"/>
      </rPr>
      <t>exp(650/T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</si>
  <si>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</si>
  <si>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5.25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exp(-1510/T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</si>
  <si>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1.66 × 10</t>
    </r>
    <r>
      <rPr>
        <vertAlign val="superscript"/>
        <sz val="11"/>
        <color theme="1"/>
        <rFont val="Roboto"/>
        <charset val="204"/>
        <scheme val="minor"/>
      </rPr>
      <t>-21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</si>
  <si>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-21 </t>
    </r>
    <r>
      <rPr>
        <sz val="11"/>
        <color theme="1"/>
        <rFont val="Roboto"/>
        <charset val="204"/>
        <scheme val="minor"/>
      </rPr>
      <t>exp(-1600/T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</si>
  <si>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-26</t>
    </r>
  </si>
  <si>
    <r>
      <t>1.6 × 10</t>
    </r>
    <r>
      <rPr>
        <vertAlign val="superscript"/>
        <sz val="11"/>
        <color theme="1"/>
        <rFont val="Roboto"/>
        <charset val="204"/>
        <scheme val="minor"/>
      </rPr>
      <t>-23</t>
    </r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</si>
  <si>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</si>
  <si>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</si>
  <si>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</si>
  <si>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</si>
  <si>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</si>
  <si>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</si>
  <si>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</si>
  <si>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</si>
  <si>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</si>
  <si>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r>
      <t>T</t>
    </r>
    <r>
      <rPr>
        <vertAlign val="subscript"/>
        <sz val="11"/>
        <color theme="1"/>
        <rFont val="Roboto"/>
        <charset val="204"/>
        <scheme val="minor"/>
      </rPr>
      <t>g</t>
    </r>
  </si>
  <si>
    <t>ε</t>
  </si>
  <si>
    <t>eV</t>
  </si>
  <si>
    <r>
      <t>T</t>
    </r>
    <r>
      <rPr>
        <vertAlign val="subscript"/>
        <sz val="11"/>
        <color theme="1"/>
        <rFont val="Roboto"/>
        <charset val="204"/>
        <scheme val="minor"/>
      </rPr>
      <t>e</t>
    </r>
  </si>
  <si>
    <t>K</t>
  </si>
  <si>
    <t>k</t>
  </si>
  <si>
    <t>eV/K</t>
  </si>
  <si>
    <r>
      <t>N</t>
    </r>
    <r>
      <rPr>
        <vertAlign val="subscript"/>
        <sz val="11"/>
        <color theme="1"/>
        <rFont val="Roboto"/>
        <charset val="204"/>
        <scheme val="minor"/>
      </rPr>
      <t>M</t>
    </r>
  </si>
  <si>
    <r>
      <t>m</t>
    </r>
    <r>
      <rPr>
        <vertAlign val="superscript"/>
        <sz val="11"/>
        <color theme="1"/>
        <rFont val="Roboto"/>
        <charset val="204"/>
        <scheme val="minor"/>
      </rPr>
      <t>-3</t>
    </r>
  </si>
  <si>
    <t>Sakyama</t>
  </si>
  <si>
    <t>Sakyama, Akishev</t>
  </si>
  <si>
    <t>Comments</t>
  </si>
  <si>
    <t>DEA</t>
  </si>
  <si>
    <t>2e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</si>
  <si>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4.5</t>
    </r>
    <r>
      <rPr>
        <sz val="11"/>
        <color theme="1"/>
        <rFont val="Roboto"/>
        <family val="2"/>
        <charset val="204"/>
        <scheme val="minor"/>
      </rPr>
      <t>)</t>
    </r>
  </si>
  <si>
    <t>OH+</t>
  </si>
  <si>
    <r>
      <t>2.43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  <r>
      <rPr>
        <sz val="11"/>
        <color theme="1" tint="0.499984740745262"/>
        <rFont val="Roboto"/>
        <family val="2"/>
        <charset val="204"/>
        <scheme val="minor"/>
      </rPr>
      <t>ε  ×  2.77 exp(-5.62/ε)</t>
    </r>
  </si>
  <si>
    <r>
      <t>3.12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-35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1.5</t>
    </r>
  </si>
  <si>
    <r>
      <t>1.66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</si>
  <si>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1.86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0.43</t>
    </r>
  </si>
  <si>
    <r>
      <t>2.73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</si>
  <si>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1.37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</si>
  <si>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5.46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</si>
  <si>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-31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4.5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</si>
  <si>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-43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</si>
  <si>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</si>
  <si>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</si>
  <si>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</si>
  <si>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-43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</si>
  <si>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-42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</si>
  <si>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-14</t>
    </r>
  </si>
  <si>
    <r>
      <t>2.6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</si>
  <si>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</si>
  <si>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</si>
  <si>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</si>
  <si>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</si>
  <si>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</si>
  <si>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</si>
  <si>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</si>
  <si>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</si>
  <si>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</si>
  <si>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</si>
  <si>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</si>
  <si>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</si>
  <si>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2.40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</si>
  <si>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</si>
  <si>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5.1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</si>
  <si>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</si>
  <si>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</si>
  <si>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</si>
  <si>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</si>
  <si>
    <r>
      <t>5.5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</si>
  <si>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</si>
  <si>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3.4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</si>
  <si>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1.19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</si>
  <si>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</si>
  <si>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</si>
  <si>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</si>
  <si>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</si>
  <si>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</si>
  <si>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</si>
  <si>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</si>
  <si>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</si>
  <si>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6.6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</si>
  <si>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</si>
  <si>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</si>
  <si>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</si>
  <si>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</si>
  <si>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  <r>
      <rPr>
        <sz val="11"/>
        <color theme="1" tint="0.499984740745262"/>
        <rFont val="Roboto"/>
        <family val="2"/>
        <charset val="204"/>
        <scheme val="minor"/>
      </rPr>
      <t xml:space="preserve"> exp(-1800/T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</si>
  <si>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</si>
  <si>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</si>
  <si>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</si>
  <si>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</si>
  <si>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</si>
  <si>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6.8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</si>
  <si>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</si>
  <si>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</si>
  <si>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</si>
  <si>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</si>
  <si>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-23</t>
    </r>
  </si>
  <si>
    <r>
      <t>8.8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</si>
  <si>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</si>
  <si>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</si>
  <si>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</si>
  <si>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</si>
  <si>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</si>
  <si>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3.5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</si>
  <si>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</si>
  <si>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</si>
  <si>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exp(-1044/T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</si>
  <si>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</si>
  <si>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4.29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</si>
  <si>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2.21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</si>
  <si>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4.59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</si>
  <si>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2.24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</si>
  <si>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</si>
  <si>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</si>
  <si>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-41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</si>
  <si>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</si>
  <si>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2.75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</si>
  <si>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</si>
  <si>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</si>
  <si>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</si>
  <si>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</si>
  <si>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3.8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</si>
  <si>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1.17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</si>
  <si>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</si>
  <si>
    <r>
      <t>8.2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</si>
  <si>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</si>
  <si>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</si>
  <si>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</si>
  <si>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7.83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</si>
  <si>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</si>
  <si>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</si>
  <si>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3.43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</si>
  <si>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3.86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</si>
  <si>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5.2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</si>
  <si>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</si>
  <si>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2.13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</si>
  <si>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9.7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</si>
  <si>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1.59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</si>
  <si>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</si>
  <si>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</si>
  <si>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</si>
  <si>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</si>
  <si>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</si>
  <si>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</si>
  <si>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</si>
  <si>
    <r>
      <t>8.3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-46 </t>
    </r>
    <r>
      <rPr>
        <sz val="11"/>
        <color theme="1" tint="0.499984740745262"/>
        <rFont val="Roboto"/>
        <family val="2"/>
        <charset val="204"/>
        <scheme val="minor"/>
      </rPr>
      <t>exp(500/T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</si>
  <si>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exp(100/T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</si>
  <si>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exp(220/T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</si>
  <si>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9.1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</si>
  <si>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</si>
  <si>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</si>
  <si>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6.3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-45 </t>
    </r>
    <r>
      <rPr>
        <sz val="11"/>
        <color theme="1" tint="0.499984740745262"/>
        <rFont val="Roboto"/>
        <family val="2"/>
        <charset val="204"/>
        <scheme val="minor"/>
      </rPr>
      <t>exp(140/T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</si>
  <si>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7.5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</si>
  <si>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</si>
  <si>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exp(-1620/T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</si>
  <si>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</si>
  <si>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</si>
  <si>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</si>
  <si>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</si>
  <si>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</si>
  <si>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</si>
  <si>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</si>
  <si>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</si>
  <si>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exp(-210/T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</si>
  <si>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</si>
  <si>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</si>
  <si>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3.4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1.2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</si>
  <si>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exp(-2060/T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</si>
  <si>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1.6</t>
    </r>
  </si>
  <si>
    <r>
      <t>6.5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exp(120/T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</si>
  <si>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-44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</si>
  <si>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</si>
  <si>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1.62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-44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</si>
  <si>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</si>
  <si>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exp(-2950/T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</si>
  <si>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</si>
  <si>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</si>
  <si>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6.4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exp(67/T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</si>
  <si>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</si>
  <si>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</si>
  <si>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exp(107/T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</si>
  <si>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-49</t>
    </r>
  </si>
  <si>
    <r>
      <t>7.2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</si>
  <si>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</si>
  <si>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</si>
  <si>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</si>
  <si>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exp(-1370/T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</si>
  <si>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exp(-2470/T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</si>
  <si>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0.75</t>
    </r>
  </si>
  <si>
    <r>
      <t>1.6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</si>
  <si>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-20 </t>
    </r>
    <r>
      <rPr>
        <sz val="11"/>
        <color theme="1" tint="0.499984740745262"/>
        <rFont val="Roboto"/>
        <family val="2"/>
        <charset val="204"/>
        <scheme val="minor"/>
      </rPr>
      <t>exp(-600/T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</si>
  <si>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3.09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7.7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</si>
  <si>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exp(110/T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</si>
  <si>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7.4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2.4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</si>
  <si>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-44 </t>
    </r>
    <r>
      <rPr>
        <sz val="11"/>
        <color theme="1" tint="0.499984740745262"/>
        <rFont val="Roboto"/>
        <family val="2"/>
        <charset val="204"/>
        <scheme val="minor"/>
      </rPr>
      <t>exp(300/T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</si>
  <si>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exp(270/T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</si>
  <si>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exp(-1000/T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</si>
  <si>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1.17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-45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3.8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</si>
  <si>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3.5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</si>
  <si>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exp(-1600/T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</si>
  <si>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-42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2.9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</si>
  <si>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exp(-3000/T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</si>
  <si>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exp(-750/T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</si>
  <si>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4.8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</si>
  <si>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1.03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exp(-2628/T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</si>
  <si>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1.09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family val="2"/>
        <charset val="204"/>
        <scheme val="minor"/>
      </rPr>
      <t>exp(-4952/T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</si>
  <si>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-9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3.5</t>
    </r>
    <r>
      <rPr>
        <sz val="11"/>
        <color theme="1" tint="0.499984740745262"/>
        <rFont val="Roboto"/>
        <family val="2"/>
        <charset val="204"/>
        <scheme val="minor"/>
      </rPr>
      <t>exp(-11000/T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</si>
  <si>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-44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-1.8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</si>
  <si>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/ 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/>
    </r>
  </si>
  <si>
    <r>
      <t>6.1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-38 </t>
    </r>
    <r>
      <rPr>
        <sz val="11"/>
        <color theme="1" tint="0.499984740745262"/>
        <rFont val="Roboto"/>
        <family val="2"/>
        <charset val="204"/>
        <scheme val="minor"/>
      </rPr>
      <t>/ 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</si>
  <si>
    <r>
      <t>1.69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exp(-1800/T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</si>
  <si>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exp(-1900/T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</si>
  <si>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</si>
  <si>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2.4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</si>
  <si>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4.2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exp(-950/T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</si>
  <si>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</si>
  <si>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exp(-3700/T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</si>
  <si>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1.39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-20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/298)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3.29 </t>
    </r>
    <r>
      <rPr>
        <sz val="11"/>
        <color theme="1" tint="0.499984740745262"/>
        <rFont val="Roboto"/>
        <family val="2"/>
        <charset val="204"/>
        <scheme val="minor"/>
      </rPr>
      <t>exp(-3160/T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</si>
  <si>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exp(-2600/T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</si>
  <si>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exp(-503/T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</si>
  <si>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6.9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-0.8</t>
    </r>
  </si>
  <si>
    <r>
      <t>4.8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exp(250/T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</si>
  <si>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</si>
  <si>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</si>
  <si>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exp(-390/T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</si>
  <si>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</si>
  <si>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1.66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</si>
  <si>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-26</t>
    </r>
  </si>
  <si>
    <r>
      <t>1.6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-23</t>
    </r>
  </si>
  <si>
    <t>A(6)</t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</si>
  <si>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</si>
  <si>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D)</t>
    </r>
  </si>
  <si>
    <r>
      <t>O(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D)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</si>
  <si>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</si>
  <si>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</si>
  <si>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</si>
  <si>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</si>
  <si>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</si>
  <si>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</si>
  <si>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</si>
  <si>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</si>
  <si>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</si>
  <si>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</si>
  <si>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</si>
  <si>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</si>
  <si>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</si>
  <si>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4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</si>
  <si>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5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</si>
  <si>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</si>
  <si>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</si>
  <si>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</si>
  <si>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</t>
    </r>
    <r>
      <rPr>
        <i/>
        <sz val="11"/>
        <color theme="1"/>
        <rFont val="Roboto"/>
        <charset val="204"/>
        <scheme val="minor"/>
      </rPr>
      <t>4.5</t>
    </r>
    <r>
      <rPr>
        <sz val="11"/>
        <color theme="1"/>
        <rFont val="Roboto"/>
        <charset val="204"/>
        <scheme val="minor"/>
      </rPr>
      <t>)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</si>
  <si>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</si>
  <si>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8.1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</si>
  <si>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 xml:space="preserve">Sakyama, </t>
    </r>
    <r>
      <rPr>
        <b/>
        <sz val="11"/>
        <color theme="1"/>
        <rFont val="Roboto"/>
        <charset val="204"/>
        <scheme val="minor"/>
      </rPr>
      <t>Akishev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</si>
  <si>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exp(-170/T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)/T</t>
    </r>
    <r>
      <rPr>
        <vertAlign val="subscript"/>
        <sz val="11"/>
        <color theme="1" tint="0.499984740745262"/>
        <rFont val="Roboto"/>
        <charset val="204"/>
        <scheme val="minor"/>
      </rPr>
      <t>g</t>
    </r>
  </si>
  <si>
    <t>A(7)</t>
  </si>
  <si>
    <t>A(8)</t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</si>
  <si>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exp(-170/T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)/T</t>
    </r>
    <r>
      <rPr>
        <vertAlign val="subscript"/>
        <sz val="11"/>
        <color theme="1" tint="0.499984740745262"/>
        <rFont val="Roboto"/>
        <charset val="204"/>
        <scheme val="minor"/>
      </rPr>
      <t>g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</si>
  <si>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exp(-170/T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)/T</t>
    </r>
    <r>
      <rPr>
        <vertAlign val="subscript"/>
        <sz val="11"/>
        <color theme="1" tint="0.499984740745262"/>
        <rFont val="Roboto"/>
        <charset val="204"/>
        <scheme val="minor"/>
      </rPr>
      <t>g</t>
    </r>
  </si>
  <si>
    <t>Akishev</t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</si>
  <si>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-46</t>
    </r>
  </si>
  <si>
    <t>A(9)</t>
  </si>
  <si>
    <t>A(10)</t>
  </si>
  <si>
    <t>A(11)</t>
  </si>
  <si>
    <r>
      <t>6.3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</si>
  <si>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</si>
  <si>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rPr>
        <b/>
        <sz val="11"/>
        <color theme="1"/>
        <rFont val="Roboto"/>
        <charset val="204"/>
        <scheme val="minor"/>
      </rPr>
      <t>Sakyama</t>
    </r>
    <r>
      <rPr>
        <sz val="11"/>
        <color theme="1"/>
        <rFont val="Roboto"/>
        <family val="2"/>
        <charset val="204"/>
        <scheme val="minor"/>
      </rPr>
      <t>, Akishev</t>
    </r>
  </si>
  <si>
    <r>
      <t>Sakyama,</t>
    </r>
    <r>
      <rPr>
        <sz val="11"/>
        <color theme="1"/>
        <rFont val="Roboto"/>
        <family val="2"/>
        <charset val="204"/>
        <scheme val="minor"/>
      </rPr>
      <t xml:space="preserve"> Akishev</t>
    </r>
  </si>
  <si>
    <t>A(14)</t>
  </si>
  <si>
    <r>
      <t xml:space="preserve">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</si>
  <si>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t>A(15)</t>
  </si>
  <si>
    <r>
      <t>8.5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</si>
  <si>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t>A(16)</t>
  </si>
  <si>
    <t>A(17)</t>
  </si>
  <si>
    <t>A(18)</t>
  </si>
  <si>
    <t>A(19)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</si>
  <si>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(4.5)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</si>
  <si>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</si>
  <si>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7.7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</si>
  <si>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7.4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</si>
  <si>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t>A(21)</t>
  </si>
  <si>
    <t>A(25)</t>
  </si>
  <si>
    <t>A(26)</t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</si>
  <si>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</si>
  <si>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-23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</si>
  <si>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</si>
  <si>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4.6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</si>
  <si>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t>A(28)</t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</si>
  <si>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</si>
  <si>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</si>
  <si>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 xml:space="preserve">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-22</t>
    </r>
  </si>
  <si>
    <t>A(30)</t>
  </si>
  <si>
    <r>
      <t xml:space="preserve">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</si>
  <si>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t>A(31)</t>
  </si>
  <si>
    <r>
      <t>2.71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charset val="204"/>
        <scheme val="minor"/>
      </rPr>
      <t>T</t>
    </r>
    <r>
      <rPr>
        <vertAlign val="subscript"/>
        <sz val="11"/>
        <color theme="1" tint="0.499984740745262"/>
        <rFont val="Roboto"/>
        <charset val="204"/>
        <scheme val="minor"/>
      </rPr>
      <t>g</t>
    </r>
    <r>
      <rPr>
        <vertAlign val="superscript"/>
        <sz val="11"/>
        <color theme="1" tint="0.499984740745262"/>
        <rFont val="Roboto"/>
        <charset val="204"/>
        <scheme val="minor"/>
      </rPr>
      <t>-0.23</t>
    </r>
    <r>
      <rPr>
        <sz val="11"/>
        <color theme="1" tint="0.499984740745262"/>
        <rFont val="Roboto"/>
        <family val="2"/>
        <charset val="204"/>
        <scheme val="minor"/>
      </rPr>
      <t>exp(-947/T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</si>
  <si>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t>O-</t>
  </si>
  <si>
    <t>NO-</t>
  </si>
  <si>
    <t>OH-</t>
  </si>
  <si>
    <t>N2(A3∑)</t>
  </si>
  <si>
    <r>
      <t>H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</si>
  <si>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</si>
  <si>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</si>
  <si>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</si>
  <si>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</si>
  <si>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</si>
  <si>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</si>
  <si>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</si>
  <si>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</si>
  <si>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</si>
  <si>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</si>
  <si>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</si>
  <si>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-42</t>
    </r>
  </si>
  <si>
    <t>IST Lisbon, SIGLO</t>
  </si>
  <si>
    <t>Itikawa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</si>
  <si>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(esum)</t>
    </r>
  </si>
  <si>
    <t>N2(esum)</t>
  </si>
  <si>
    <t>NH</t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</si>
  <si>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</si>
  <si>
    <t>Herron 1999</t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</si>
  <si>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P)</t>
    </r>
  </si>
  <si>
    <r>
      <t>1.35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</si>
  <si>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6.7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</si>
  <si>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-20 </t>
    </r>
  </si>
  <si>
    <t>IST Lisbon</t>
  </si>
  <si>
    <t>Biagi</t>
  </si>
  <si>
    <t>Morgan</t>
  </si>
  <si>
    <t>TRINITI</t>
  </si>
  <si>
    <t>Code</t>
  </si>
  <si>
    <t>(L1)</t>
  </si>
  <si>
    <t>(L2)</t>
  </si>
  <si>
    <t>(L3)</t>
  </si>
  <si>
    <t>(L4)</t>
  </si>
  <si>
    <t>(L5)</t>
  </si>
  <si>
    <t>(L6)</t>
  </si>
  <si>
    <t>(L7)</t>
  </si>
  <si>
    <t>(L8)</t>
  </si>
  <si>
    <t>(L9)</t>
  </si>
  <si>
    <t>(L10)</t>
  </si>
  <si>
    <t>(L11)</t>
  </si>
  <si>
    <t>(L12)</t>
  </si>
  <si>
    <t>(L13)</t>
  </si>
  <si>
    <t>(L14)</t>
  </si>
  <si>
    <t>(L15)</t>
  </si>
  <si>
    <t>(L16)</t>
  </si>
  <si>
    <t>(L17)</t>
  </si>
  <si>
    <t>(L18)</t>
  </si>
  <si>
    <t>(L19)</t>
  </si>
  <si>
    <t>(L20)</t>
  </si>
  <si>
    <t>(L21)</t>
  </si>
  <si>
    <t>(L22)</t>
  </si>
  <si>
    <t>(L23)</t>
  </si>
  <si>
    <t>(L24)</t>
  </si>
  <si>
    <t>(L25)</t>
  </si>
  <si>
    <t>(L26)</t>
  </si>
  <si>
    <t>(L27)</t>
  </si>
  <si>
    <t>(L28)</t>
  </si>
  <si>
    <t>(L29)</t>
  </si>
  <si>
    <t>LXCAT</t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</si>
  <si>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</si>
  <si>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</si>
  <si>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</si>
  <si>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</si>
  <si>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</si>
  <si>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</si>
  <si>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</si>
  <si>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</si>
  <si>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</si>
  <si>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</si>
  <si>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</si>
  <si>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</si>
  <si>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</si>
  <si>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</si>
  <si>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</si>
  <si>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</si>
  <si>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</si>
  <si>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</si>
  <si>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</si>
  <si>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</si>
  <si>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</si>
  <si>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</si>
  <si>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</si>
  <si>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</si>
  <si>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</si>
  <si>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</si>
  <si>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4O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</si>
  <si>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</si>
  <si>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</si>
  <si>
    <t>2O</t>
  </si>
  <si>
    <t>3H</t>
  </si>
  <si>
    <r>
      <t>2O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</si>
  <si>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2NO</t>
    </r>
    <r>
      <rPr>
        <vertAlign val="subscript"/>
        <sz val="11"/>
        <color theme="1"/>
        <rFont val="Roboto"/>
        <charset val="204"/>
        <scheme val="minor"/>
      </rPr>
      <t>2</t>
    </r>
  </si>
  <si>
    <t>2H</t>
  </si>
  <si>
    <t>2N</t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</si>
  <si>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</si>
  <si>
    <t>2NO</t>
  </si>
  <si>
    <t>3O</t>
  </si>
  <si>
    <r>
      <t>3O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</si>
  <si>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</si>
  <si>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2NO</t>
    </r>
    <r>
      <rPr>
        <vertAlign val="subscript"/>
        <sz val="11"/>
        <color theme="1"/>
        <rFont val="Roboto"/>
        <charset val="204"/>
        <scheme val="minor"/>
      </rPr>
      <t>2</t>
    </r>
  </si>
  <si>
    <t>2OH</t>
  </si>
  <si>
    <r>
      <t>2HNO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</si>
  <si>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2HO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</si>
  <si>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2NO</t>
    </r>
    <r>
      <rPr>
        <vertAlign val="subscript"/>
        <sz val="11"/>
        <color theme="1"/>
        <rFont val="Roboto"/>
        <charset val="204"/>
        <scheme val="minor"/>
      </rPr>
      <t>3</t>
    </r>
  </si>
  <si>
    <t>Ion</t>
  </si>
  <si>
    <t>N2</t>
  </si>
  <si>
    <t>N(2D)</t>
  </si>
  <si>
    <t>N2(rot)</t>
  </si>
  <si>
    <t>N2(v)</t>
  </si>
  <si>
    <t>N2+</t>
  </si>
  <si>
    <t>N(2P)</t>
  </si>
  <si>
    <t>N+</t>
  </si>
  <si>
    <t>O2(v)</t>
  </si>
  <si>
    <t>O2(rot)</t>
  </si>
  <si>
    <t>O+</t>
  </si>
  <si>
    <t>O2(b1∑)</t>
  </si>
  <si>
    <t>O2(4.5)</t>
  </si>
  <si>
    <t>O(1D)</t>
  </si>
  <si>
    <t>O2(a1∆)</t>
  </si>
  <si>
    <t>O2+</t>
  </si>
  <si>
    <t>H2O</t>
  </si>
  <si>
    <t>H2O+</t>
  </si>
  <si>
    <t>H+</t>
  </si>
  <si>
    <t>H2</t>
  </si>
  <si>
    <t>H2+</t>
  </si>
  <si>
    <t>H2O(rot)</t>
  </si>
  <si>
    <t>H2O(v)</t>
  </si>
  <si>
    <t>O2-</t>
  </si>
  <si>
    <t>O3</t>
  </si>
  <si>
    <t>O3-</t>
  </si>
  <si>
    <t>H-</t>
  </si>
  <si>
    <t>HO2</t>
  </si>
  <si>
    <t>Directional</t>
  </si>
  <si>
    <t>(A1)</t>
  </si>
  <si>
    <t>(A2)</t>
  </si>
  <si>
    <t>(A4)</t>
  </si>
  <si>
    <t>(A5)</t>
  </si>
  <si>
    <t>(A3)</t>
  </si>
  <si>
    <t>(A11)</t>
  </si>
  <si>
    <t>(A12)</t>
  </si>
  <si>
    <t>Weight</t>
  </si>
  <si>
    <t>Id</t>
  </si>
  <si>
    <t>Radical</t>
  </si>
  <si>
    <t>Molecula</t>
  </si>
  <si>
    <t>Category</t>
  </si>
  <si>
    <t>Source</t>
  </si>
  <si>
    <t>Target</t>
  </si>
  <si>
    <t>Type</t>
  </si>
  <si>
    <t>Label</t>
  </si>
  <si>
    <t>Stable element</t>
  </si>
  <si>
    <t>Exc. Molecula</t>
  </si>
  <si>
    <t>TBA</t>
  </si>
  <si>
    <t>DIS</t>
  </si>
  <si>
    <t>EXC</t>
  </si>
  <si>
    <t>ION</t>
  </si>
  <si>
    <t>ROT</t>
  </si>
  <si>
    <t>VIB</t>
  </si>
  <si>
    <t>REC</t>
  </si>
  <si>
    <t>Discharge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</si>
  <si>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)</t>
    </r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</si>
  <si>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</si>
  <si>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</si>
  <si>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(b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</si>
  <si>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</t>
    </r>
    <r>
      <rPr>
        <i/>
        <sz val="11"/>
        <color theme="1"/>
        <rFont val="Roboto"/>
        <charset val="204"/>
        <scheme val="minor"/>
      </rPr>
      <t>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</si>
  <si>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</t>
    </r>
    <r>
      <rPr>
        <i/>
        <sz val="11"/>
        <color theme="1"/>
        <rFont val="Roboto"/>
        <charset val="204"/>
        <scheme val="minor"/>
      </rPr>
      <t>b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)</t>
    </r>
  </si>
  <si>
    <t>N2(A3)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</si>
  <si>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</si>
  <si>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)</t>
    </r>
  </si>
  <si>
    <t>Air</t>
  </si>
  <si>
    <t>Metastable recombination</t>
  </si>
  <si>
    <t>Stable synthesis</t>
  </si>
  <si>
    <r>
      <t>3.8 × 10</t>
    </r>
    <r>
      <rPr>
        <vertAlign val="superscript"/>
        <sz val="11"/>
        <color theme="1" tint="0.499984740745262"/>
        <rFont val="Roboto"/>
        <charset val="204"/>
        <scheme val="minor"/>
      </rPr>
      <t>-24</t>
    </r>
    <r>
      <rPr>
        <sz val="11"/>
        <color theme="1" tint="0.499984740745262"/>
        <rFont val="Roboto"/>
        <family val="2"/>
        <charset val="204"/>
        <scheme val="minor"/>
      </rPr>
      <t xml:space="preserve"> exp(-205/Tg)</t>
    </r>
  </si>
  <si>
    <r>
      <t>1.5 × 10</t>
    </r>
    <r>
      <rPr>
        <vertAlign val="superscript"/>
        <sz val="11"/>
        <color theme="1" tint="0.499984740745262"/>
        <rFont val="Roboto"/>
        <charset val="204"/>
        <scheme val="minor"/>
      </rPr>
      <t>-24</t>
    </r>
  </si>
  <si>
    <t>(A24)</t>
  </si>
  <si>
    <t>(A23)</t>
  </si>
  <si>
    <t>Radical synthesis</t>
  </si>
  <si>
    <t>Size</t>
  </si>
  <si>
    <r>
      <t>3.1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charset val="204"/>
        <scheme val="minor"/>
      </rPr>
      <t>Exp</t>
    </r>
    <r>
      <rPr>
        <sz val="11"/>
        <color theme="1" tint="0.499984740745262"/>
        <rFont val="Roboto"/>
        <family val="2"/>
        <charset val="204"/>
        <scheme val="minor"/>
      </rPr>
      <t>(-60/T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</si>
  <si>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t>(A27)</t>
  </si>
  <si>
    <r>
      <t>N</t>
    </r>
    <r>
      <rPr>
        <vertAlign val="subscript"/>
        <sz val="12"/>
        <color theme="1"/>
        <rFont val="Times New Roman"/>
        <family val="1"/>
      </rPr>
      <t>2</t>
    </r>
  </si>
  <si>
    <r>
      <t>N(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D)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</si>
  <si>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(rot)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</si>
  <si>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(v)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</si>
  <si>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(A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</si>
  <si>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(esum)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</si>
  <si>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+</t>
    </r>
  </si>
  <si>
    <r>
      <t>N(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P)</t>
    </r>
  </si>
  <si>
    <r>
      <t>N</t>
    </r>
    <r>
      <rPr>
        <vertAlign val="superscript"/>
        <sz val="12"/>
        <color theme="1"/>
        <rFont val="Times New Roman"/>
        <family val="1"/>
      </rPr>
      <t>+</t>
    </r>
  </si>
  <si>
    <r>
      <t>O</t>
    </r>
    <r>
      <rPr>
        <vertAlign val="subscript"/>
        <sz val="12"/>
        <color theme="1"/>
        <rFont val="Times New Roman"/>
        <family val="1"/>
      </rPr>
      <t>2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</si>
  <si>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(v)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</si>
  <si>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(rot)</t>
    </r>
  </si>
  <si>
    <r>
      <t>O</t>
    </r>
    <r>
      <rPr>
        <vertAlign val="superscript"/>
        <sz val="12"/>
        <color theme="1"/>
        <rFont val="Times New Roman"/>
        <family val="1"/>
      </rPr>
      <t>+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</si>
  <si>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b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</si>
  <si>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4.5</t>
    </r>
    <r>
      <rPr>
        <sz val="12"/>
        <color theme="1"/>
        <rFont val="Times New Roman"/>
        <family val="1"/>
      </rPr>
      <t>)</t>
    </r>
  </si>
  <si>
    <r>
      <t>O(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D)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</si>
  <si>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</si>
  <si>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O</t>
    </r>
    <r>
      <rPr>
        <vertAlign val="superscript"/>
        <sz val="12"/>
        <color theme="1"/>
        <rFont val="Times New Roman"/>
        <family val="1"/>
      </rPr>
      <t>-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</si>
  <si>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+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</si>
  <si>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)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</si>
  <si>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</si>
  <si>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perscript"/>
        <sz val="12"/>
        <color theme="1"/>
        <rFont val="Times New Roman"/>
        <family val="1"/>
      </rPr>
      <t>+</t>
    </r>
  </si>
  <si>
    <r>
      <t>OH</t>
    </r>
    <r>
      <rPr>
        <vertAlign val="superscript"/>
        <sz val="12"/>
        <color theme="1"/>
        <rFont val="Times New Roman"/>
        <family val="1"/>
      </rPr>
      <t>+</t>
    </r>
  </si>
  <si>
    <r>
      <t>H</t>
    </r>
    <r>
      <rPr>
        <vertAlign val="superscript"/>
        <sz val="12"/>
        <color theme="1"/>
        <rFont val="Times New Roman"/>
        <family val="1"/>
      </rPr>
      <t>+</t>
    </r>
  </si>
  <si>
    <r>
      <t>H</t>
    </r>
    <r>
      <rPr>
        <vertAlign val="subscript"/>
        <sz val="12"/>
        <color theme="1"/>
        <rFont val="Times New Roman"/>
        <family val="1"/>
      </rPr>
      <t>2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</si>
  <si>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+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</si>
  <si>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O(rot)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</si>
  <si>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O(v)</t>
    </r>
  </si>
  <si>
    <r>
      <t>O</t>
    </r>
    <r>
      <rPr>
        <vertAlign val="sub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+ M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</si>
  <si>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-</t>
    </r>
  </si>
  <si>
    <r>
      <t>O</t>
    </r>
    <r>
      <rPr>
        <vertAlign val="subscript"/>
        <sz val="12"/>
        <color theme="1"/>
        <rFont val="Times New Roman"/>
        <family val="1"/>
      </rPr>
      <t>3</t>
    </r>
  </si>
  <si>
    <r>
      <t>H</t>
    </r>
    <r>
      <rPr>
        <vertAlign val="superscript"/>
        <sz val="12"/>
        <color theme="1"/>
        <rFont val="Times New Roman"/>
        <family val="1"/>
      </rPr>
      <t>-</t>
    </r>
  </si>
  <si>
    <r>
      <t>OH</t>
    </r>
    <r>
      <rPr>
        <vertAlign val="superscript"/>
        <sz val="12"/>
        <color theme="1"/>
        <rFont val="Times New Roman"/>
        <family val="1"/>
      </rPr>
      <t>-</t>
    </r>
  </si>
  <si>
    <t>B3∏, C3∏, …</t>
  </si>
  <si>
    <t>H2O(v=1,2)</t>
  </si>
  <si>
    <t>Itikawa database, www.lxcat.net, retrieved on August 20, 2019.</t>
  </si>
  <si>
    <t>TRINITY database, www.lxcat.net, retrieved on August 20, 2019.</t>
  </si>
  <si>
    <r>
      <t xml:space="preserve">Rate constant, </t>
    </r>
    <r>
      <rPr>
        <sz val="12"/>
        <color theme="1"/>
        <rFont val="Times New Roman"/>
        <family val="1"/>
      </rPr>
      <t>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/s</t>
    </r>
  </si>
  <si>
    <t>E = 124 Td</t>
  </si>
  <si>
    <t>E = 500 Td</t>
  </si>
  <si>
    <t>Morgan (Kinema Research &amp; Software), www.lxcat.net, retrieved on August 20, 2019.</t>
  </si>
  <si>
    <t>IST Lisbon database, www.lxcat.net, retrieved on August 20, 2019.</t>
  </si>
  <si>
    <t>Biagi (transcription of data from SF Biagi's Fortran code, Magboltz.), www.lxcat.net, retrieved on August 20, 2019.</t>
  </si>
  <si>
    <r>
      <t>5.8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  <r>
      <rPr>
        <sz val="11"/>
        <color theme="1" tint="0.499984740745262"/>
        <rFont val="Roboto"/>
        <scheme val="minor"/>
      </rPr>
      <t xml:space="preserve"> exp(-740/Tg)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</si>
  <si>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</si>
  <si>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</si>
  <si>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</si>
  <si>
    <t>TRINITY</t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</si>
  <si>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exp(67/T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</si>
  <si>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scheme val="minor"/>
      </rPr>
      <t>O</t>
    </r>
  </si>
  <si>
    <t>2M</t>
  </si>
  <si>
    <t>Teff</t>
  </si>
  <si>
    <t>e ION</t>
  </si>
  <si>
    <t>e DEA</t>
  </si>
  <si>
    <t>I-N DA</t>
  </si>
  <si>
    <t>I-N REC</t>
  </si>
  <si>
    <t>I-I NEUT</t>
  </si>
  <si>
    <t>N-N Chem</t>
  </si>
  <si>
    <t>e NEUT</t>
  </si>
  <si>
    <r>
      <t>2.32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-14 </t>
    </r>
    <r>
      <rPr>
        <sz val="11"/>
        <color theme="1" tint="0.499984740745262"/>
        <rFont val="Calibri"/>
        <family val="2"/>
      </rPr>
      <t>ε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 xml:space="preserve"> </t>
    </r>
    <r>
      <rPr>
        <sz val="11"/>
        <color theme="1" tint="0.499984740745262"/>
        <rFont val="Roboto"/>
        <family val="2"/>
        <charset val="204"/>
        <scheme val="minor"/>
      </rPr>
      <t>exp(-0.13/</t>
    </r>
    <r>
      <rPr>
        <sz val="11"/>
        <color theme="1" tint="0.499984740745262"/>
        <rFont val="Calibri"/>
        <family val="2"/>
      </rPr>
      <t>ε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</si>
  <si>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t>I-e DA</t>
  </si>
  <si>
    <r>
      <t>9.67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-12 </t>
    </r>
    <r>
      <rPr>
        <sz val="11"/>
        <color theme="1" tint="0.499984740745262"/>
        <rFont val="Calibri"/>
        <family val="2"/>
      </rPr>
      <t>ε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-1.9</t>
    </r>
    <r>
      <rPr>
        <sz val="11"/>
        <color theme="1" tint="0.499984740745262"/>
        <rFont val="Roboto"/>
        <scheme val="minor"/>
      </rPr>
      <t>exp(-12.1/</t>
    </r>
    <r>
      <rPr>
        <sz val="11"/>
        <color theme="1" tint="0.499984740745262"/>
        <rFont val="Calibri"/>
        <family val="2"/>
      </rPr>
      <t>ε</t>
    </r>
    <r>
      <rPr>
        <vertAlign val="subscript"/>
        <sz val="9.35"/>
        <color theme="1" tint="0.499984740745262"/>
        <rFont val="Roboto"/>
      </rPr>
      <t>e</t>
    </r>
    <r>
      <rPr>
        <sz val="9.35"/>
        <color theme="1" tint="0.499984740745262"/>
        <rFont val="Roboto"/>
      </rPr>
      <t>)</t>
    </r>
  </si>
  <si>
    <t>EMSS</t>
  </si>
  <si>
    <r>
      <t>N</t>
    </r>
    <r>
      <rPr>
        <vertAlign val="subscript"/>
        <sz val="11"/>
        <color theme="1"/>
        <rFont val="Roboto"/>
        <scheme val="minor"/>
      </rPr>
      <t>2</t>
    </r>
  </si>
  <si>
    <r>
      <t>O</t>
    </r>
    <r>
      <rPr>
        <vertAlign val="subscript"/>
        <sz val="11"/>
        <color theme="1"/>
        <rFont val="Roboto"/>
        <scheme val="minor"/>
      </rPr>
      <t>2</t>
    </r>
  </si>
  <si>
    <r>
      <t>H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</si>
  <si>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O</t>
    </r>
    <r>
      <rPr>
        <vertAlign val="superscript"/>
        <sz val="11"/>
        <color theme="1"/>
        <rFont val="Roboto"/>
        <scheme val="minor"/>
      </rPr>
      <t>-</t>
    </r>
  </si>
  <si>
    <r>
      <t>H</t>
    </r>
    <r>
      <rPr>
        <vertAlign val="subscript"/>
        <sz val="11"/>
        <color theme="1"/>
        <rFont val="Roboto"/>
        <scheme val="minor"/>
      </rPr>
      <t>2</t>
    </r>
  </si>
  <si>
    <r>
      <t>H</t>
    </r>
    <r>
      <rPr>
        <vertAlign val="superscript"/>
        <sz val="11"/>
        <color theme="1"/>
        <rFont val="Roboto"/>
        <scheme val="minor"/>
      </rPr>
      <t>+</t>
    </r>
  </si>
  <si>
    <t>Reactant</t>
  </si>
  <si>
    <t>Product</t>
  </si>
  <si>
    <t>Matzing H 2007 Adv. Chem. Phys. 80 315–402</t>
  </si>
  <si>
    <t>[1]</t>
  </si>
  <si>
    <t>[2]</t>
  </si>
  <si>
    <t>[3]</t>
  </si>
  <si>
    <t>[4]</t>
  </si>
  <si>
    <t>[5]</t>
  </si>
  <si>
    <t>[6]</t>
  </si>
  <si>
    <t>[7]</t>
  </si>
  <si>
    <t>[10]</t>
  </si>
  <si>
    <t>[12]</t>
  </si>
  <si>
    <t>[13]</t>
  </si>
  <si>
    <t>[14]</t>
  </si>
  <si>
    <t>[15]</t>
  </si>
  <si>
    <t>Kossyi I A, Kostinsky A Yu, Matveyev A A and Silakov V P 1992 Plasma Sources Sci. Technol. 1 207</t>
  </si>
  <si>
    <t>Capitelli M, Ferreira C M, Gordiets B F and Osipov A I 2000 Plasma Kinetics in Atmospheric Gases (Berlin: Splinger)</t>
  </si>
  <si>
    <t>Williams T L, Adams N G, Babcock L M, HerdCRand Geoghegan M 1996 Mon. Not. R. Astron. Soc. 282 413</t>
  </si>
  <si>
    <t>Cenian A, Chernukho A and Borodin V 1995 Contrib. Plasma Phys. 35 273</t>
  </si>
  <si>
    <t>Olson R E, Peterson J R and Moseley J T 1970 J. Chem. Phys. 53 3391</t>
  </si>
  <si>
    <t>Mcfarland M, Dunkin D B, Fehsenfeld F C, Schmeltekopf A C and Ferguson E E 1972 J. Chem. Phys. 56 2358</t>
  </si>
  <si>
    <t>Mark T D and Oskam H J 1971 Phys. Rev. A 4 1445</t>
  </si>
  <si>
    <t>Anicich V G 1993 J. Phys. Chem. Ref. Data 22 1469</t>
  </si>
  <si>
    <t>Eichwald O, Yousﬁ M, Hennad A and Benabdessadok M D 1997 J. Appl. Phys. 82 4781</t>
  </si>
  <si>
    <t>Sieck L W, Herron J T and Green D S 2000 Plasma Chem. Plasma Process. 20 235</t>
  </si>
  <si>
    <t>Stalder K R, Vidmar R J, Nersisyan G and Graham W G 2006 J. Appl. Phys. 99 093301</t>
  </si>
  <si>
    <t>Dorai R and Kushner M J 2003 J. Phys. D: Appl. Phys. 36 666</t>
  </si>
  <si>
    <t>Tochikubo F and Arai H 2002 Japan. J. Appl. Phys. 41 844</t>
  </si>
  <si>
    <t>Herron J T and Green D S 2001 Plasma Chem. Plasma Process. 21 459</t>
  </si>
  <si>
    <t>National Institute of Standards and Technology, cited 2011: NIST Chemical Kinetics Database (Available online at http://kinetics.nist.gov/)</t>
  </si>
  <si>
    <t>Bohringer H, Arnold F, Smith D and Adams N G 1983 Int. J.Mass Spectrom. Ion Phys. 52 25</t>
  </si>
  <si>
    <t>Atkinson R, Baulch D L, Cox R A, Hampson R F, Kerr J A, Rossi M J and Troe J 1997 J. Phys. Chem. Ref. Data 26 1329</t>
  </si>
  <si>
    <t>Kushner M J 1993 J. Appl. Phys. 74 6538</t>
  </si>
  <si>
    <t>Person J C and Ham D O 1988 Int. J. Radiat. Appl. Instrum. Part C 31 1</t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</si>
  <si>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0.5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</si>
  <si>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0.53</t>
    </r>
  </si>
  <si>
    <t>Verified</t>
  </si>
  <si>
    <r>
      <t>2.295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</si>
  <si>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0.405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</si>
  <si>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</si>
  <si>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0.84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0.85</t>
    </r>
  </si>
  <si>
    <r>
      <t>3.36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0.85</t>
    </r>
  </si>
  <si>
    <r>
      <t>2.0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</si>
  <si>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0.71 × 1.55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0.97</t>
    </r>
  </si>
  <si>
    <r>
      <t>0.29 × 1.55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0.97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</si>
  <si>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0.39</t>
    </r>
  </si>
  <si>
    <t>e DEA (TBA)</t>
  </si>
  <si>
    <r>
      <t>1.0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</si>
  <si>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</si>
  <si>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scheme val="minor"/>
      </rPr>
      <t>O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</si>
  <si>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</si>
  <si>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-41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</si>
  <si>
    <r>
      <t>(1.5 - 2 × 10</t>
    </r>
    <r>
      <rPr>
        <vertAlign val="superscript"/>
        <sz val="11"/>
        <color theme="1" tint="0.499984740745262"/>
        <rFont val="Roboto"/>
        <scheme val="minor"/>
      </rPr>
      <t>-3</t>
    </r>
    <r>
      <rPr>
        <sz val="11"/>
        <color theme="1" tint="0.499984740745262"/>
        <rFont val="Roboto"/>
        <family val="2"/>
        <charset val="204"/>
        <scheme val="minor"/>
      </rPr>
      <t xml:space="preserve"> × 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 xml:space="preserve"> + 9.6 × 10</t>
    </r>
    <r>
      <rPr>
        <vertAlign val="superscript"/>
        <sz val="11"/>
        <color theme="1" tint="0.499984740745262"/>
        <rFont val="Roboto"/>
        <scheme val="minor"/>
      </rPr>
      <t>-7</t>
    </r>
    <r>
      <rPr>
        <sz val="11"/>
        <color theme="1" tint="0.499984740745262"/>
        <rFont val="Roboto"/>
        <family val="2"/>
        <charset val="204"/>
        <scheme val="minor"/>
      </rPr>
      <t xml:space="preserve"> × T</t>
    </r>
    <r>
      <rPr>
        <vertAlign val="subscript"/>
        <sz val="11"/>
        <color theme="1" tint="0.499984740745262"/>
        <rFont val="Roboto"/>
        <scheme val="minor"/>
      </rPr>
      <t>eff</t>
    </r>
    <r>
      <rPr>
        <vertAlign val="superscript"/>
        <sz val="11"/>
        <color theme="1" tint="0.499984740745262"/>
        <rFont val="Roboto"/>
        <scheme val="minor"/>
      </rPr>
      <t>2</t>
    </r>
    <r>
      <rPr>
        <sz val="11"/>
        <color theme="1" tint="0.499984740745262"/>
        <rFont val="Roboto"/>
        <family val="2"/>
        <charset val="204"/>
        <scheme val="minor"/>
      </rPr>
      <t>) × 10</t>
    </r>
    <r>
      <rPr>
        <vertAlign val="superscript"/>
        <sz val="11"/>
        <color theme="1" tint="0.499984740745262"/>
        <rFont val="Roboto"/>
        <scheme val="minor"/>
      </rPr>
      <t>-18</t>
    </r>
  </si>
  <si>
    <r>
      <t>2.0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</si>
  <si>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2.4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</si>
  <si>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7.2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scheme val="minor"/>
      </rPr>
      <t>/300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</si>
  <si>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0.5</t>
    </r>
  </si>
  <si>
    <t>e NEUT (TBA)</t>
  </si>
  <si>
    <t>I-N DA (TBA)</t>
  </si>
  <si>
    <t>I-N REC (TBA)</t>
  </si>
  <si>
    <t>N-N Chem (TBA)</t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</si>
  <si>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2.1</t>
    </r>
  </si>
  <si>
    <r>
      <t>2.9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</si>
  <si>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-28</t>
    </r>
    <r>
      <rPr>
        <sz val="11"/>
        <color theme="1" tint="0.499984740745262"/>
        <rFont val="Roboto"/>
        <family val="2"/>
        <charset val="204"/>
        <scheme val="minor"/>
      </rPr>
      <t xml:space="preserve"> exp(T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/121)</t>
    </r>
  </si>
  <si>
    <r>
      <t>4.0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</si>
  <si>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6.7 × 1.6 × 10</t>
    </r>
    <r>
      <rPr>
        <vertAlign val="superscript"/>
        <sz val="11"/>
        <color theme="1" tint="0.499984740745262"/>
        <rFont val="Roboto"/>
        <scheme val="minor"/>
      </rPr>
      <t>-16</t>
    </r>
  </si>
  <si>
    <r>
      <t>HN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</si>
  <si>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NH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</si>
  <si>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</si>
  <si>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4 </t>
    </r>
    <r>
      <rPr>
        <sz val="11"/>
        <color theme="1" tint="0.499984740745262"/>
        <rFont val="Roboto"/>
        <family val="2"/>
        <charset val="204"/>
        <scheme val="minor"/>
      </rPr>
      <t>exp(-5030/T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</si>
  <si>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-41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2.2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</si>
  <si>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(400/T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</si>
  <si>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3.2</t>
    </r>
  </si>
  <si>
    <r>
      <t>HN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family val="2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</si>
  <si>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scheme val="minor"/>
      </rPr>
      <t>3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scheme val="minor"/>
      </rPr>
      <t>+</t>
    </r>
  </si>
  <si>
    <r>
      <t>5.0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</si>
  <si>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HN</t>
    </r>
    <r>
      <rPr>
        <vertAlign val="subscript"/>
        <sz val="11"/>
        <color theme="1"/>
        <rFont val="Roboto"/>
        <scheme val="minor"/>
      </rPr>
      <t>3</t>
    </r>
    <r>
      <rPr>
        <sz val="11"/>
        <color theme="1"/>
        <rFont val="Roboto"/>
        <family val="2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</si>
  <si>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scheme val="minor"/>
      </rPr>
      <t>-</t>
    </r>
  </si>
  <si>
    <r>
      <t>1.1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</si>
  <si>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</si>
  <si>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</si>
  <si>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 xml:space="preserve"> </t>
    </r>
    <r>
      <rPr>
        <sz val="11"/>
        <color theme="1" tint="0.499984740745262"/>
        <rFont val="Roboto"/>
        <family val="2"/>
        <charset val="204"/>
        <scheme val="minor"/>
      </rPr>
      <t>exp(-4990/T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</si>
  <si>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 xml:space="preserve"> </t>
    </r>
    <r>
      <rPr>
        <sz val="11"/>
        <color theme="1" tint="0.499984740745262"/>
        <rFont val="Roboto"/>
        <family val="2"/>
        <charset val="204"/>
        <scheme val="minor"/>
      </rPr>
      <t>exp(-5590/T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</si>
  <si>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</si>
  <si>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7.4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</si>
  <si>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HNO</t>
    </r>
    <r>
      <rPr>
        <vertAlign val="subscript"/>
        <sz val="11"/>
        <color theme="1"/>
        <rFont val="Roboto"/>
        <scheme val="minor"/>
      </rPr>
      <t>2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</si>
  <si>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</si>
  <si>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3.9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  <r>
      <rPr>
        <sz val="11"/>
        <color theme="1" tint="0.499984740745262"/>
        <rFont val="Roboto"/>
        <scheme val="minor"/>
      </rPr>
      <t xml:space="preserve"> exp(-T</t>
    </r>
    <r>
      <rPr>
        <vertAlign val="subscript"/>
        <sz val="11"/>
        <color theme="1" tint="0.499984740745262"/>
        <rFont val="Roboto"/>
        <scheme val="minor"/>
      </rPr>
      <t>g</t>
    </r>
    <r>
      <rPr>
        <sz val="11"/>
        <color theme="1" tint="0.499984740745262"/>
        <rFont val="Roboto"/>
        <scheme val="minor"/>
      </rPr>
      <t>/143)</t>
    </r>
  </si>
  <si>
    <r>
      <t>3.0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</si>
  <si>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-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</si>
  <si>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6.0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</si>
  <si>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</si>
  <si>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</si>
  <si>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</si>
  <si>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2.7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</si>
  <si>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1.66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</si>
  <si>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t>Mols</t>
  </si>
  <si>
    <r>
      <t>O</t>
    </r>
    <r>
      <rPr>
        <vertAlign val="subscript"/>
        <sz val="11"/>
        <color theme="1"/>
        <rFont val="Roboto"/>
        <scheme val="minor"/>
      </rPr>
      <t>2</t>
    </r>
    <r>
      <rPr>
        <vertAlign val="superscript"/>
        <sz val="11"/>
        <color theme="1"/>
        <rFont val="Roboto"/>
        <scheme val="minor"/>
      </rPr>
      <t>-</t>
    </r>
  </si>
  <si>
    <r>
      <t>O</t>
    </r>
    <r>
      <rPr>
        <vertAlign val="subscript"/>
        <sz val="11"/>
        <color theme="1"/>
        <rFont val="Roboto"/>
        <scheme val="minor"/>
      </rPr>
      <t>3</t>
    </r>
  </si>
  <si>
    <r>
      <t>O</t>
    </r>
    <r>
      <rPr>
        <vertAlign val="subscript"/>
        <sz val="11"/>
        <color theme="1"/>
        <rFont val="Roboto"/>
        <scheme val="minor"/>
      </rPr>
      <t>3</t>
    </r>
    <r>
      <rPr>
        <vertAlign val="superscript"/>
        <sz val="11"/>
        <color theme="1"/>
        <rFont val="Roboto"/>
        <scheme val="minor"/>
      </rPr>
      <t>-</t>
    </r>
  </si>
  <si>
    <r>
      <t>H</t>
    </r>
    <r>
      <rPr>
        <vertAlign val="superscript"/>
        <sz val="11"/>
        <color theme="1"/>
        <rFont val="Roboto"/>
        <scheme val="minor"/>
      </rPr>
      <t>-</t>
    </r>
  </si>
  <si>
    <r>
      <t>N</t>
    </r>
    <r>
      <rPr>
        <vertAlign val="subscript"/>
        <sz val="11"/>
        <color theme="1"/>
        <rFont val="Roboto"/>
        <scheme val="minor"/>
      </rPr>
      <t>3</t>
    </r>
    <r>
      <rPr>
        <vertAlign val="superscript"/>
        <sz val="11"/>
        <color theme="1"/>
        <rFont val="Roboto"/>
        <scheme val="minor"/>
      </rPr>
      <t>+</t>
    </r>
  </si>
  <si>
    <r>
      <t>HNO</t>
    </r>
    <r>
      <rPr>
        <vertAlign val="subscript"/>
        <sz val="11"/>
        <color theme="1"/>
        <rFont val="Roboto"/>
        <scheme val="minor"/>
      </rPr>
      <t>3</t>
    </r>
  </si>
  <si>
    <t>2HNO</t>
  </si>
  <si>
    <r>
      <t>2O</t>
    </r>
    <r>
      <rPr>
        <vertAlign val="subscript"/>
        <sz val="11"/>
        <color theme="1"/>
        <rFont val="Roboto"/>
        <scheme val="minor"/>
      </rPr>
      <t>2</t>
    </r>
  </si>
  <si>
    <r>
      <t>N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scheme val="minor"/>
      </rPr>
      <t>O</t>
    </r>
  </si>
  <si>
    <r>
      <t>NO</t>
    </r>
    <r>
      <rPr>
        <vertAlign val="superscript"/>
        <sz val="11"/>
        <color theme="1"/>
        <rFont val="Roboto"/>
        <scheme val="minor"/>
      </rPr>
      <t>+</t>
    </r>
  </si>
  <si>
    <r>
      <t>NO</t>
    </r>
    <r>
      <rPr>
        <vertAlign val="subscript"/>
        <sz val="11"/>
        <color theme="1"/>
        <rFont val="Roboto"/>
        <scheme val="minor"/>
      </rPr>
      <t>3</t>
    </r>
    <r>
      <rPr>
        <vertAlign val="superscript"/>
        <sz val="11"/>
        <color theme="1"/>
        <rFont val="Roboto"/>
        <scheme val="minor"/>
      </rPr>
      <t>-</t>
    </r>
  </si>
  <si>
    <r>
      <t>NO</t>
    </r>
    <r>
      <rPr>
        <vertAlign val="subscript"/>
        <sz val="11"/>
        <color theme="1"/>
        <rFont val="Roboto"/>
        <scheme val="minor"/>
      </rPr>
      <t>2</t>
    </r>
  </si>
  <si>
    <r>
      <t>2N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scheme val="minor"/>
      </rPr>
      <t>O</t>
    </r>
  </si>
  <si>
    <t>6 × 10-16</t>
  </si>
  <si>
    <t>2.32 × 10-14 εe2 exp(-0.13/εe)</t>
  </si>
  <si>
    <t>2 × 10-17</t>
  </si>
  <si>
    <t>2.8 × 10-16</t>
  </si>
  <si>
    <t>9.67 × 10-12 εe-1.9exp(-12.1/εe)</t>
  </si>
  <si>
    <t>1.4 × 10-21 exp(-1600/Tg)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</si>
</sst>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44" x14ac:knownFonts="1">
    <font>
      <sz val="11"/>
      <color theme="1"/>
      <name val="Roboto"/>
      <family val="2"/>
      <charset val="204"/>
      <scheme val="minor"/>
    </font>
    <font>
      <sz val="11"/>
      <color theme="1"/>
      <name val="Roboto"/>
      <family val="2"/>
      <scheme val="minor"/>
    </font>
    <font>
      <sz val="8"/>
      <color theme="1"/>
      <name val="Roboto"/>
      <family val="2"/>
      <charset val="204"/>
      <scheme val="minor"/>
    </font>
    <font>
      <b/>
      <sz val="11"/>
      <color theme="1"/>
      <name val="Roboto"/>
      <charset val="204"/>
      <scheme val="minor"/>
    </font>
    <font>
      <vertAlign val="subscript"/>
      <sz val="11"/>
      <color theme="1"/>
      <name val="Roboto"/>
      <charset val="204"/>
      <scheme val="minor"/>
    </font>
    <font>
      <b/>
      <sz val="11"/>
      <color theme="1"/>
      <name val="Roboto"/>
      <charset val="204"/>
      <scheme val="minor"/>
    </font>
    <font>
      <vertAlign val="superscript"/>
      <sz val="11"/>
      <color theme="1"/>
      <name val="Roboto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</font>
    <font>
      <sz val="11"/>
      <color theme="1"/>
      <name val="Roboto"/>
      <charset val="204"/>
      <scheme val="minor"/>
    </font>
    <font>
      <sz val="11"/>
      <color theme="1"/>
      <name val="Rockwell"/>
      <family val="1"/>
    </font>
    <font>
      <i/>
      <sz val="11"/>
      <color theme="1"/>
      <name val="Rockwell"/>
      <family val="1"/>
    </font>
    <font>
      <vertAlign val="subscript"/>
      <sz val="11"/>
      <color theme="1"/>
      <name val="Roboto"/>
      <family val="2"/>
      <charset val="204"/>
      <scheme val="minor"/>
    </font>
    <font>
      <vertAlign val="superscript"/>
      <sz val="11"/>
      <color theme="1"/>
      <name val="Roboto"/>
      <family val="2"/>
      <charset val="204"/>
      <scheme val="minor"/>
    </font>
    <font>
      <sz val="11"/>
      <color theme="1" tint="0.499984740745262"/>
      <name val="Roboto"/>
      <family val="2"/>
      <charset val="204"/>
      <scheme val="minor"/>
    </font>
    <font>
      <vertAlign val="superscript"/>
      <sz val="11"/>
      <color theme="1" tint="0.499984740745262"/>
      <name val="Roboto"/>
      <family val="2"/>
      <charset val="204"/>
      <scheme val="minor"/>
    </font>
    <font>
      <vertAlign val="subscript"/>
      <sz val="11"/>
      <color theme="1" tint="0.499984740745262"/>
      <name val="Roboto"/>
      <family val="2"/>
      <charset val="204"/>
      <scheme val="minor"/>
    </font>
    <font>
      <sz val="11"/>
      <color theme="1"/>
      <name val="Roboto"/>
      <charset val="204"/>
      <scheme val="minor"/>
    </font>
    <font>
      <i/>
      <sz val="11"/>
      <color theme="1"/>
      <name val="Roboto"/>
      <charset val="204"/>
      <scheme val="minor"/>
    </font>
    <font>
      <vertAlign val="subscript"/>
      <sz val="11"/>
      <color theme="1" tint="0.499984740745262"/>
      <name val="Roboto"/>
      <charset val="204"/>
      <scheme val="minor"/>
    </font>
    <font>
      <vertAlign val="superscript"/>
      <sz val="11"/>
      <color theme="1" tint="0.499984740745262"/>
      <name val="Roboto"/>
      <charset val="204"/>
      <scheme val="minor"/>
    </font>
    <font>
      <sz val="11"/>
      <color theme="1" tint="0.499984740745262"/>
      <name val="Roboto"/>
      <charset val="204"/>
      <scheme val="minor"/>
    </font>
    <font>
      <sz val="9"/>
      <color theme="1"/>
      <name val="Roboto"/>
      <family val="2"/>
      <charset val="204"/>
      <scheme val="minor"/>
    </font>
    <font>
      <sz val="10"/>
      <name val="Arial"/>
      <family val="2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0.499984740745262"/>
      <name val="Times New Roman"/>
      <family val="1"/>
    </font>
    <font>
      <b/>
      <sz val="12"/>
      <color theme="1" tint="0.499984740745262"/>
      <name val="Times New Roman"/>
      <family val="1"/>
    </font>
    <font>
      <sz val="11"/>
      <color theme="1" tint="0.499984740745262"/>
      <name val="Roboto"/>
      <scheme val="minor"/>
    </font>
    <font>
      <sz val="11"/>
      <color theme="1"/>
      <name val="Roboto"/>
      <scheme val="minor"/>
    </font>
    <font>
      <sz val="8"/>
      <name val="Roboto"/>
      <family val="2"/>
      <charset val="204"/>
      <scheme val="minor"/>
    </font>
    <font>
      <sz val="11"/>
      <color theme="1" tint="0.499984740745262"/>
      <name val="Calibri"/>
      <family val="2"/>
    </font>
    <font>
      <sz val="9.35"/>
      <color theme="1" tint="0.499984740745262"/>
      <name val="Roboto"/>
    </font>
    <font>
      <vertAlign val="subscript"/>
      <sz val="9.35"/>
      <color theme="1" tint="0.499984740745262"/>
      <name val="Roboto"/>
    </font>
    <font>
      <vertAlign val="superscript"/>
      <sz val="11"/>
      <color theme="1"/>
      <name val="Roboto"/>
      <scheme val="minor"/>
    </font>
    <font>
      <vertAlign val="subscript"/>
      <sz val="11"/>
      <color theme="1"/>
      <name val="Roboto"/>
      <scheme val="minor"/>
    </font>
    <font>
      <sz val="11"/>
      <color theme="0" tint="-4.9989318521683403E-2"/>
      <name val="Roboto"/>
      <family val="2"/>
      <charset val="204"/>
      <scheme val="minor"/>
    </font>
    <font>
      <vertAlign val="superscript"/>
      <sz val="11"/>
      <color theme="1" tint="0.499984740745262"/>
      <name val="Roboto"/>
      <scheme val="minor"/>
    </font>
    <font>
      <sz val="11"/>
      <color theme="0" tint="-0.34998626667073579"/>
      <name val="Roboto"/>
      <family val="2"/>
      <charset val="204"/>
      <scheme val="minor"/>
    </font>
    <font>
      <vertAlign val="subscript"/>
      <sz val="11"/>
      <color theme="1" tint="0.499984740745262"/>
      <name val="Roboto"/>
      <scheme val="minor"/>
    </font>
    <font>
      <b/>
      <sz val="11"/>
      <color theme="1"/>
      <name val="Roboto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theme="1"/>
      </top>
      <bottom style="hair">
        <color theme="1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theme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theme="1"/>
      </top>
      <bottom style="hair">
        <color indexed="64"/>
      </bottom>
      <diagonal/>
    </border>
    <border>
      <left/>
      <right style="thin">
        <color indexed="64"/>
      </right>
      <top/>
      <bottom style="hair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hair">
        <color theme="1"/>
      </bottom>
      <diagonal/>
    </border>
    <border>
      <left/>
      <right style="thin">
        <color indexed="64"/>
      </right>
      <top style="hair">
        <color theme="1"/>
      </top>
      <bottom style="hair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theme="1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theme="1"/>
      </top>
      <bottom style="hair">
        <color indexed="64"/>
      </bottom>
      <diagonal/>
    </border>
    <border>
      <left/>
      <right style="thin">
        <color indexed="64"/>
      </right>
      <top style="hair">
        <color theme="1"/>
      </top>
      <bottom/>
      <diagonal/>
    </border>
    <border>
      <left/>
      <right/>
      <top style="hair">
        <color theme="1"/>
      </top>
      <bottom style="thin">
        <color indexed="64"/>
      </bottom>
      <diagonal/>
    </border>
    <border>
      <left/>
      <right style="thin">
        <color indexed="64"/>
      </right>
      <top style="hair">
        <color theme="1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7" fillId="0" borderId="0"/>
    <xf numFmtId="0" fontId="23" fillId="0" borderId="0"/>
    <xf numFmtId="0" fontId="1" fillId="0" borderId="0"/>
  </cellStyleXfs>
  <cellXfs count="154">
    <xf numFmtId="0" fontId="0" fillId="0" borderId="0" xfId="0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vertical="center"/>
    </xf>
    <xf numFmtId="164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1" fontId="5" fillId="0" borderId="5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11" fontId="25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2" fontId="24" fillId="0" borderId="10" xfId="0" applyNumberFormat="1" applyFont="1" applyBorder="1" applyAlignment="1">
      <alignment horizontal="left" vertical="center"/>
    </xf>
    <xf numFmtId="2" fontId="24" fillId="0" borderId="0" xfId="0" applyNumberFormat="1" applyFont="1" applyAlignment="1">
      <alignment horizontal="left" vertical="center"/>
    </xf>
    <xf numFmtId="0" fontId="24" fillId="0" borderId="11" xfId="0" applyFont="1" applyBorder="1" applyAlignment="1">
      <alignment horizontal="center" vertical="center"/>
    </xf>
    <xf numFmtId="0" fontId="24" fillId="0" borderId="11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4" fillId="0" borderId="3" xfId="0" applyFont="1" applyBorder="1" applyAlignment="1">
      <alignment vertical="center" wrapText="1"/>
    </xf>
    <xf numFmtId="164" fontId="24" fillId="0" borderId="3" xfId="0" applyNumberFormat="1" applyFont="1" applyBorder="1" applyAlignment="1">
      <alignment horizontal="left" vertical="center"/>
    </xf>
    <xf numFmtId="11" fontId="24" fillId="0" borderId="0" xfId="0" applyNumberFormat="1" applyFont="1" applyAlignment="1">
      <alignment vertical="center"/>
    </xf>
    <xf numFmtId="165" fontId="24" fillId="0" borderId="0" xfId="0" applyNumberFormat="1" applyFont="1" applyAlignment="1">
      <alignment vertical="center"/>
    </xf>
    <xf numFmtId="11" fontId="24" fillId="0" borderId="8" xfId="0" applyNumberFormat="1" applyFont="1" applyBorder="1" applyAlignment="1">
      <alignment vertical="center"/>
    </xf>
    <xf numFmtId="11" fontId="24" fillId="0" borderId="10" xfId="0" applyNumberFormat="1" applyFont="1" applyBorder="1" applyAlignment="1">
      <alignment vertical="center"/>
    </xf>
    <xf numFmtId="11" fontId="24" fillId="0" borderId="17" xfId="0" applyNumberFormat="1" applyFont="1" applyBorder="1" applyAlignment="1">
      <alignment vertical="center"/>
    </xf>
    <xf numFmtId="11" fontId="24" fillId="0" borderId="18" xfId="0" applyNumberFormat="1" applyFont="1" applyBorder="1" applyAlignment="1">
      <alignment vertical="center"/>
    </xf>
    <xf numFmtId="0" fontId="24" fillId="0" borderId="19" xfId="0" applyFont="1" applyBorder="1" applyAlignment="1">
      <alignment horizontal="left" vertical="center"/>
    </xf>
    <xf numFmtId="0" fontId="24" fillId="0" borderId="19" xfId="0" applyFont="1" applyBorder="1" applyAlignment="1">
      <alignment horizontal="center" vertical="center"/>
    </xf>
    <xf numFmtId="0" fontId="24" fillId="0" borderId="19" xfId="0" applyFont="1" applyBorder="1" applyAlignment="1">
      <alignment vertical="center"/>
    </xf>
    <xf numFmtId="0" fontId="24" fillId="0" borderId="19" xfId="0" applyFont="1" applyBorder="1" applyAlignment="1">
      <alignment vertical="center" wrapText="1"/>
    </xf>
    <xf numFmtId="11" fontId="24" fillId="0" borderId="20" xfId="0" applyNumberFormat="1" applyFont="1" applyBorder="1" applyAlignment="1">
      <alignment vertical="center"/>
    </xf>
    <xf numFmtId="11" fontId="24" fillId="0" borderId="21" xfId="0" applyNumberFormat="1" applyFont="1" applyBorder="1" applyAlignment="1">
      <alignment vertical="center"/>
    </xf>
    <xf numFmtId="164" fontId="24" fillId="0" borderId="19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11" fontId="29" fillId="0" borderId="5" xfId="0" applyNumberFormat="1" applyFont="1" applyBorder="1" applyAlignment="1">
      <alignment vertical="center"/>
    </xf>
    <xf numFmtId="11" fontId="29" fillId="0" borderId="16" xfId="0" applyNumberFormat="1" applyFont="1" applyBorder="1" applyAlignment="1">
      <alignment vertical="center"/>
    </xf>
    <xf numFmtId="0" fontId="29" fillId="0" borderId="5" xfId="0" applyFont="1" applyBorder="1" applyAlignment="1">
      <alignment horizontal="left" vertical="center"/>
    </xf>
    <xf numFmtId="0" fontId="25" fillId="0" borderId="5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3" fontId="24" fillId="0" borderId="5" xfId="0" applyNumberFormat="1" applyFont="1" applyBorder="1" applyAlignment="1">
      <alignment vertical="center"/>
    </xf>
    <xf numFmtId="164" fontId="25" fillId="0" borderId="5" xfId="0" applyNumberFormat="1" applyFont="1" applyBorder="1" applyAlignment="1">
      <alignment horizontal="left" vertical="center"/>
    </xf>
    <xf numFmtId="0" fontId="24" fillId="0" borderId="16" xfId="0" applyFont="1" applyBorder="1" applyAlignment="1">
      <alignment horizontal="left" vertical="center"/>
    </xf>
    <xf numFmtId="0" fontId="24" fillId="0" borderId="16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4" fillId="0" borderId="22" xfId="0" applyFont="1" applyBorder="1" applyAlignment="1">
      <alignment vertical="center"/>
    </xf>
    <xf numFmtId="0" fontId="24" fillId="0" borderId="15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4" xfId="0" applyFont="1" applyBorder="1" applyAlignment="1">
      <alignment horizontal="left" vertical="center"/>
    </xf>
    <xf numFmtId="0" fontId="24" fillId="0" borderId="24" xfId="0" applyFont="1" applyBorder="1" applyAlignment="1">
      <alignment horizontal="center" vertical="center"/>
    </xf>
    <xf numFmtId="0" fontId="24" fillId="0" borderId="24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11" fontId="24" fillId="0" borderId="26" xfId="0" applyNumberFormat="1" applyFont="1" applyBorder="1" applyAlignment="1">
      <alignment vertical="center"/>
    </xf>
    <xf numFmtId="11" fontId="24" fillId="0" borderId="27" xfId="0" applyNumberFormat="1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11" fontId="24" fillId="0" borderId="28" xfId="0" applyNumberFormat="1" applyFont="1" applyBorder="1" applyAlignment="1">
      <alignment vertical="center"/>
    </xf>
    <xf numFmtId="0" fontId="24" fillId="0" borderId="28" xfId="0" applyFont="1" applyBorder="1" applyAlignment="1">
      <alignment horizontal="left" vertical="center"/>
    </xf>
    <xf numFmtId="0" fontId="24" fillId="0" borderId="28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164" fontId="24" fillId="0" borderId="24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 vertical="center"/>
    </xf>
    <xf numFmtId="0" fontId="22" fillId="0" borderId="4" xfId="0" applyFont="1" applyBorder="1" applyAlignment="1">
      <alignment horizontal="left" vertical="center"/>
    </xf>
    <xf numFmtId="11" fontId="0" fillId="0" borderId="29" xfId="0" applyNumberFormat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vertical="center"/>
    </xf>
    <xf numFmtId="2" fontId="0" fillId="0" borderId="10" xfId="0" applyNumberForma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11" fontId="0" fillId="0" borderId="3" xfId="0" applyNumberFormat="1" applyBorder="1" applyAlignment="1">
      <alignment vertical="center"/>
    </xf>
    <xf numFmtId="0" fontId="17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164" fontId="0" fillId="0" borderId="3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/>
    </xf>
    <xf numFmtId="0" fontId="17" fillId="0" borderId="6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17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4" fillId="0" borderId="4" xfId="0" applyFont="1" applyBorder="1" applyAlignment="1">
      <alignment horizontal="left" vertical="center"/>
    </xf>
    <xf numFmtId="2" fontId="0" fillId="0" borderId="29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22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9" fillId="0" borderId="0" xfId="0" applyFont="1"/>
    <xf numFmtId="11" fontId="41" fillId="0" borderId="30" xfId="0" applyNumberFormat="1" applyFont="1" applyBorder="1" applyAlignment="1">
      <alignment vertical="center"/>
    </xf>
    <xf numFmtId="11" fontId="41" fillId="0" borderId="6" xfId="0" applyNumberFormat="1" applyFont="1" applyBorder="1" applyAlignment="1">
      <alignment vertical="center"/>
    </xf>
    <xf numFmtId="11" fontId="41" fillId="0" borderId="6" xfId="0" applyNumberFormat="1" applyFont="1" applyBorder="1" applyAlignment="1">
      <alignment vertical="center" wrapText="1"/>
    </xf>
    <xf numFmtId="11" fontId="41" fillId="0" borderId="7" xfId="0" applyNumberFormat="1" applyFont="1" applyBorder="1" applyAlignment="1">
      <alignment vertical="center"/>
    </xf>
    <xf numFmtId="164" fontId="41" fillId="0" borderId="6" xfId="0" applyNumberFormat="1" applyFont="1" applyBorder="1" applyAlignment="1">
      <alignment vertical="center" wrapText="1"/>
    </xf>
    <xf numFmtId="164" fontId="41" fillId="0" borderId="6" xfId="0" applyNumberFormat="1" applyFont="1" applyBorder="1" applyAlignment="1">
      <alignment vertical="center"/>
    </xf>
    <xf numFmtId="0" fontId="32" fillId="0" borderId="3" xfId="0" applyFont="1" applyBorder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3" xfId="0" applyFont="1" applyBorder="1" applyAlignment="1">
      <alignment horizontal="left" vertical="center"/>
    </xf>
    <xf numFmtId="0" fontId="43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5">
    <dxf>
      <font>
        <color auto="1"/>
      </font>
      <fill>
        <patternFill>
          <bgColor theme="8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2B02D"/>
      <color rgb="FFCC8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1">
  <a:themeElements>
    <a:clrScheme name="Custom 1">
      <a:dk1>
        <a:sysClr val="windowText" lastClr="000000"/>
      </a:dk1>
      <a:lt1>
        <a:sysClr val="window" lastClr="FFFFFF"/>
      </a:lt1>
      <a:dk2>
        <a:srgbClr val="252D64"/>
      </a:dk2>
      <a:lt2>
        <a:srgbClr val="52D9C8"/>
      </a:lt2>
      <a:accent1>
        <a:srgbClr val="F57065"/>
      </a:accent1>
      <a:accent2>
        <a:srgbClr val="000000"/>
      </a:accent2>
      <a:accent3>
        <a:srgbClr val="8F8FBF"/>
      </a:accent3>
      <a:accent4>
        <a:srgbClr val="7CC8EC"/>
      </a:accent4>
      <a:accent5>
        <a:srgbClr val="F8D35E"/>
      </a:accent5>
      <a:accent6>
        <a:srgbClr val="F57065"/>
      </a:accent6>
      <a:hlink>
        <a:srgbClr val="52D9C8"/>
      </a:hlink>
      <a:folHlink>
        <a:srgbClr val="252D64"/>
      </a:folHlink>
    </a:clrScheme>
    <a:fontScheme name="Custom 1">
      <a:majorFont>
        <a:latin typeface="Roboto Bold"/>
        <a:ea typeface=""/>
        <a:cs typeface=""/>
      </a:majorFont>
      <a:minorFont>
        <a:latin typeface="Roboto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</a:spPr>
      <a:bodyPr wrap="none" lIns="0" tIns="0" rIns="0" bIns="0" rtlCol="0">
        <a:spAutoFit/>
      </a:bodyPr>
      <a:lstStyle>
        <a:defPPr>
          <a:defRPr sz="1200" dirty="0" smtClean="0">
            <a:solidFill>
              <a:schemeClr val="tx2"/>
            </a:solidFill>
            <a:ea typeface="Roboto Light" panose="02000000000000000000" pitchFamily="2" charset="0"/>
            <a:cs typeface="Roboto Bold" pitchFamily="2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8DE3-F79E-418D-928B-1616BAEAE5DF}">
  <sheetPr codeName="Sheet12">
    <tabColor theme="6"/>
  </sheetPr>
  <dimension ref="A1:W368"/>
  <sheetViews>
    <sheetView showGridLines="0" zoomScale="85" zoomScaleNormal="85" workbookViewId="0">
      <selection activeCell="T27" sqref="A27:T27"/>
    </sheetView>
  </sheetViews>
  <sheetFormatPr defaultRowHeight="15.75" x14ac:dyDescent="0.25"/>
  <cols>
    <col min="1" max="4" width="7" style="37" customWidth="1"/>
    <col min="5" max="5" width="3" style="38" customWidth="1"/>
    <col min="6" max="6" width="3" style="39" customWidth="1"/>
    <col min="7" max="7" width="7.125" style="37" customWidth="1"/>
    <col min="8" max="8" width="3.375" style="37" customWidth="1"/>
    <col min="9" max="9" width="9.625" style="38" customWidth="1"/>
    <col min="10" max="10" width="3" style="39" customWidth="1"/>
    <col min="11" max="11" width="6.25" style="38" customWidth="1"/>
    <col min="12" max="12" width="2.75" style="39" customWidth="1"/>
    <col min="13" max="13" width="13" style="37" customWidth="1"/>
    <col min="14" max="15" width="10.25" style="60" customWidth="1"/>
    <col min="16" max="16" width="11.125" style="40" customWidth="1"/>
    <col min="17" max="17" width="5.75" style="25" customWidth="1"/>
    <col min="18" max="18" width="9" style="13"/>
    <col min="19" max="19" width="9.25" style="13" customWidth="1"/>
    <col min="20" max="20" width="15.875" style="13" bestFit="1" customWidth="1"/>
    <col min="21" max="16384" width="9" style="13"/>
  </cols>
  <sheetData>
    <row r="1" spans="1:23" ht="24" customHeight="1" x14ac:dyDescent="0.25">
      <c r="N1" s="37">
        <v>123.5</v>
      </c>
      <c r="O1" s="37">
        <v>500</v>
      </c>
    </row>
    <row r="2" spans="1:23" ht="24" customHeight="1" x14ac:dyDescent="0.25">
      <c r="N2" s="37"/>
      <c r="O2" s="37"/>
    </row>
    <row r="3" spans="1:23" ht="24" customHeight="1" x14ac:dyDescent="0.25">
      <c r="D3" s="81" t="s">
        <v>2</v>
      </c>
      <c r="E3" s="73"/>
      <c r="F3" s="82"/>
      <c r="G3" s="82"/>
      <c r="H3" s="82"/>
      <c r="I3" s="84"/>
      <c r="J3" s="82"/>
      <c r="K3" s="73"/>
      <c r="L3" s="83"/>
      <c r="M3" s="87"/>
      <c r="N3" s="43" t="s">
        <v>1539</v>
      </c>
      <c r="O3" s="86"/>
      <c r="P3" s="85" t="s">
        <v>12</v>
      </c>
    </row>
    <row r="4" spans="1:23" ht="24" customHeight="1" x14ac:dyDescent="0.25">
      <c r="A4" s="41" t="s">
        <v>1351</v>
      </c>
      <c r="B4" s="42"/>
      <c r="C4" s="42"/>
      <c r="D4" s="74" t="s">
        <v>1351</v>
      </c>
      <c r="E4" s="75"/>
      <c r="F4" s="76"/>
      <c r="G4" s="77"/>
      <c r="H4" s="77"/>
      <c r="I4" s="74"/>
      <c r="J4" s="76"/>
      <c r="K4" s="74"/>
      <c r="L4" s="76"/>
      <c r="M4" s="88"/>
      <c r="N4" s="78" t="s">
        <v>1540</v>
      </c>
      <c r="O4" s="79" t="s">
        <v>1541</v>
      </c>
      <c r="P4" s="80" t="s">
        <v>1381</v>
      </c>
      <c r="Q4" s="36"/>
    </row>
    <row r="5" spans="1:23" ht="24" customHeight="1" x14ac:dyDescent="0.25">
      <c r="A5" s="44" t="s">
        <v>6</v>
      </c>
      <c r="B5" s="38">
        <v>1</v>
      </c>
      <c r="C5" s="38"/>
      <c r="D5" s="44" t="str">
        <f>"(D"&amp;B5&amp;")"</f>
        <v>(D1)</v>
      </c>
      <c r="E5" s="44" t="s">
        <v>1</v>
      </c>
      <c r="F5" s="45" t="s">
        <v>0</v>
      </c>
      <c r="G5" s="46" t="s">
        <v>1502</v>
      </c>
      <c r="H5" s="47" t="s">
        <v>7</v>
      </c>
      <c r="I5" s="44" t="s">
        <v>1503</v>
      </c>
      <c r="J5" s="45" t="s">
        <v>0</v>
      </c>
      <c r="K5" s="44" t="s">
        <v>636</v>
      </c>
      <c r="L5" s="45" t="s">
        <v>0</v>
      </c>
      <c r="M5" s="89" t="s">
        <v>1</v>
      </c>
      <c r="N5" s="62" t="e">
        <f ca="1">SUMIFS(OFFSET(#REF!,0,MATCH($N$1,#REF!,FALSE)-1,1000,1),#REF!,"="&amp;A5)</f>
        <v>#REF!</v>
      </c>
      <c r="O5" s="64" t="e">
        <f ca="1">SUMIFS(OFFSET(#REF!,0,MATCH($O$1,#REF!,FALSE)-1,1000,1),#REF!,"="&amp;A5)</f>
        <v>#REF!</v>
      </c>
      <c r="P5" s="48" t="e">
        <f>VLOOKUP(VLOOKUP(A5,Reactions!A2:W650,22,FALSE),$T$5:$U$10,2,FALSE)</f>
        <v>#N/A</v>
      </c>
      <c r="Q5" s="18"/>
      <c r="T5" s="13" t="s">
        <v>1337</v>
      </c>
      <c r="U5" s="13" t="s">
        <v>1337</v>
      </c>
      <c r="W5" s="13" t="s">
        <v>1537</v>
      </c>
    </row>
    <row r="6" spans="1:23" ht="24" customHeight="1" x14ac:dyDescent="0.25">
      <c r="A6" s="49" t="s">
        <v>1352</v>
      </c>
      <c r="B6" s="38">
        <f>B5+1</f>
        <v>2</v>
      </c>
      <c r="C6" s="38"/>
      <c r="D6" s="49" t="str">
        <f t="shared" ref="D6:D67" si="0">"(D"&amp;B6&amp;")"</f>
        <v>(D2)</v>
      </c>
      <c r="E6" s="50" t="s">
        <v>1</v>
      </c>
      <c r="F6" s="51" t="s">
        <v>0</v>
      </c>
      <c r="G6" s="52" t="s">
        <v>1502</v>
      </c>
      <c r="H6" s="47" t="s">
        <v>7</v>
      </c>
      <c r="I6" s="50" t="s">
        <v>1504</v>
      </c>
      <c r="J6" s="51" t="s">
        <v>0</v>
      </c>
      <c r="K6" s="50" t="s">
        <v>1</v>
      </c>
      <c r="L6" s="51"/>
      <c r="M6" s="90"/>
      <c r="N6" s="63" t="e">
        <f ca="1">SUMIFS(OFFSET(#REF!,0,MATCH($N$1,#REF!,FALSE)-1,1000,1),#REF!,"="&amp;A6)</f>
        <v>#REF!</v>
      </c>
      <c r="O6" s="65" t="e">
        <f ca="1">SUMIFS(OFFSET(#REF!,0,MATCH($O$1,#REF!,FALSE)-1,1000,1),#REF!,"="&amp;A6)</f>
        <v>#REF!</v>
      </c>
      <c r="P6" s="53" t="e">
        <f>VLOOKUP(VLOOKUP(A6,Reactions!A3:W651,22,FALSE),$T$5:$U$10,2,FALSE)</f>
        <v>#N/A</v>
      </c>
      <c r="Q6" s="18"/>
      <c r="S6" s="28"/>
      <c r="T6" s="13" t="s">
        <v>1336</v>
      </c>
      <c r="U6" s="13" t="s">
        <v>1347</v>
      </c>
      <c r="W6" s="13" t="s">
        <v>1543</v>
      </c>
    </row>
    <row r="7" spans="1:23" ht="24" customHeight="1" x14ac:dyDescent="0.25">
      <c r="A7" s="49" t="s">
        <v>1456</v>
      </c>
      <c r="B7" s="38">
        <f t="shared" ref="B7:B67" si="1">B6+1</f>
        <v>3</v>
      </c>
      <c r="C7" s="38"/>
      <c r="D7" s="49" t="str">
        <f t="shared" si="0"/>
        <v>(D3)</v>
      </c>
      <c r="E7" s="50" t="s">
        <v>1</v>
      </c>
      <c r="F7" s="51" t="s">
        <v>0</v>
      </c>
      <c r="G7" s="52" t="s">
        <v>1502</v>
      </c>
      <c r="H7" s="47" t="s">
        <v>7</v>
      </c>
      <c r="I7" s="50" t="s">
        <v>1505</v>
      </c>
      <c r="J7" s="51" t="s">
        <v>0</v>
      </c>
      <c r="K7" s="50" t="s">
        <v>1</v>
      </c>
      <c r="L7" s="47"/>
      <c r="M7" s="91"/>
      <c r="N7" s="63" t="e">
        <f ca="1">SUMIFS(OFFSET(#REF!,0,MATCH($N$1,#REF!,FALSE)-1,1000,1),#REF!,"="&amp;A7)</f>
        <v>#REF!</v>
      </c>
      <c r="O7" s="65" t="e">
        <f ca="1">SUMIFS(OFFSET(#REF!,0,MATCH($O$1,#REF!,FALSE)-1,1000,1),#REF!,"="&amp;A7)</f>
        <v>#REF!</v>
      </c>
      <c r="P7" s="54" t="e">
        <f>VLOOKUP(VLOOKUP(A7,Reactions!A3:W652,22,FALSE),$T$5:$U$10,2,FALSE)</f>
        <v>#N/A</v>
      </c>
      <c r="Q7" s="18"/>
      <c r="T7" s="13" t="s">
        <v>1347</v>
      </c>
      <c r="U7" s="13" t="s">
        <v>1347</v>
      </c>
      <c r="W7" s="13" t="s">
        <v>1543</v>
      </c>
    </row>
    <row r="8" spans="1:23" ht="24" customHeight="1" x14ac:dyDescent="0.25">
      <c r="A8" s="50" t="s">
        <v>13</v>
      </c>
      <c r="B8" s="38">
        <f t="shared" si="1"/>
        <v>4</v>
      </c>
      <c r="C8" s="38"/>
      <c r="D8" s="50" t="str">
        <f t="shared" si="0"/>
        <v>(D4)</v>
      </c>
      <c r="E8" s="50" t="s">
        <v>1</v>
      </c>
      <c r="F8" s="51" t="s">
        <v>0</v>
      </c>
      <c r="G8" s="52" t="s">
        <v>1502</v>
      </c>
      <c r="H8" s="47" t="s">
        <v>7</v>
      </c>
      <c r="I8" s="50" t="s">
        <v>1506</v>
      </c>
      <c r="J8" s="51" t="s">
        <v>0</v>
      </c>
      <c r="K8" s="50" t="s">
        <v>1</v>
      </c>
      <c r="L8" s="51"/>
      <c r="M8" s="90"/>
      <c r="N8" s="63" t="e">
        <f ca="1">SUMIFS(OFFSET(#REF!,0,MATCH($N$1,#REF!,FALSE)-1,1000,1),#REF!,"="&amp;A8)</f>
        <v>#REF!</v>
      </c>
      <c r="O8" s="65" t="e">
        <f ca="1">SUMIFS(OFFSET(#REF!,0,MATCH($O$1,#REF!,FALSE)-1,1000,1),#REF!,"="&amp;A8)</f>
        <v>#REF!</v>
      </c>
      <c r="P8" s="50" t="e">
        <f>VLOOKUP(VLOOKUP(A8,Reactions!A3:W653,22,FALSE),$T$5:$U$10,2,FALSE)</f>
        <v>#N/A</v>
      </c>
      <c r="S8" s="29"/>
      <c r="T8" s="13" t="s">
        <v>1349</v>
      </c>
      <c r="U8" s="13" t="s">
        <v>1349</v>
      </c>
      <c r="W8" s="13" t="s">
        <v>1542</v>
      </c>
    </row>
    <row r="9" spans="1:23" ht="24" customHeight="1" x14ac:dyDescent="0.25">
      <c r="A9" s="50" t="s">
        <v>14</v>
      </c>
      <c r="B9" s="38">
        <f t="shared" si="1"/>
        <v>5</v>
      </c>
      <c r="C9" s="38"/>
      <c r="D9" s="50" t="str">
        <f t="shared" si="0"/>
        <v>(D5)</v>
      </c>
      <c r="E9" s="50" t="s">
        <v>1</v>
      </c>
      <c r="F9" s="51" t="s">
        <v>0</v>
      </c>
      <c r="G9" s="52" t="s">
        <v>1502</v>
      </c>
      <c r="H9" s="47" t="s">
        <v>7</v>
      </c>
      <c r="I9" s="50" t="s">
        <v>1507</v>
      </c>
      <c r="J9" s="51" t="s">
        <v>0</v>
      </c>
      <c r="K9" s="50" t="s">
        <v>1</v>
      </c>
      <c r="L9" s="51"/>
      <c r="M9" s="90" t="s">
        <v>1535</v>
      </c>
      <c r="N9" s="63" t="e">
        <f ca="1">SUMIFS(OFFSET(#REF!,0,MATCH($N$1,#REF!,FALSE)-1,1000,1),#REF!,"="&amp;A9)</f>
        <v>#REF!</v>
      </c>
      <c r="O9" s="65" t="e">
        <f ca="1">SUMIFS(OFFSET(#REF!,0,MATCH($O$1,#REF!,FALSE)-1,1000,1),#REF!,"="&amp;A9)</f>
        <v>#REF!</v>
      </c>
      <c r="P9" s="50" t="e">
        <f>VLOOKUP(VLOOKUP(A9,Reactions!A3:W654,22,FALSE),$T$5:$U$10,2,FALSE)</f>
        <v>#N/A</v>
      </c>
      <c r="T9" s="13" t="s">
        <v>1350</v>
      </c>
      <c r="U9" s="13" t="s">
        <v>1549</v>
      </c>
      <c r="W9" s="13" t="s">
        <v>1538</v>
      </c>
    </row>
    <row r="10" spans="1:23" ht="24" customHeight="1" x14ac:dyDescent="0.25">
      <c r="A10" s="50" t="s">
        <v>15</v>
      </c>
      <c r="B10" s="38">
        <f t="shared" si="1"/>
        <v>6</v>
      </c>
      <c r="C10" s="38"/>
      <c r="D10" s="50" t="str">
        <f t="shared" si="0"/>
        <v>(D6)</v>
      </c>
      <c r="E10" s="50" t="s">
        <v>1</v>
      </c>
      <c r="F10" s="51" t="s">
        <v>0</v>
      </c>
      <c r="G10" s="52" t="s">
        <v>1502</v>
      </c>
      <c r="H10" s="47" t="s">
        <v>7</v>
      </c>
      <c r="I10" s="50" t="s">
        <v>1508</v>
      </c>
      <c r="J10" s="51" t="s">
        <v>0</v>
      </c>
      <c r="K10" s="50" t="s">
        <v>1053</v>
      </c>
      <c r="L10" s="51"/>
      <c r="M10" s="90"/>
      <c r="N10" s="63" t="e">
        <f ca="1">SUMIFS(OFFSET(#REF!,0,MATCH($N$1,#REF!,FALSE)-1,1000,1),#REF!,"="&amp;A10)</f>
        <v>#REF!</v>
      </c>
      <c r="O10" s="65" t="e">
        <f ca="1">SUMIFS(OFFSET(#REF!,0,MATCH($O$1,#REF!,FALSE)-1,1000,1),#REF!,"="&amp;A10)</f>
        <v>#REF!</v>
      </c>
      <c r="P10" s="50" t="e">
        <f>VLOOKUP(VLOOKUP(A10,Reactions!A3:W655,22,FALSE),$T$5:$U$10,2,FALSE)</f>
        <v>#N/A</v>
      </c>
      <c r="T10" s="13" t="s">
        <v>1348</v>
      </c>
      <c r="U10" s="13" t="s">
        <v>1348</v>
      </c>
      <c r="W10" s="13" t="s">
        <v>1544</v>
      </c>
    </row>
    <row r="11" spans="1:23" ht="24" customHeight="1" x14ac:dyDescent="0.25">
      <c r="A11" s="50" t="s">
        <v>16</v>
      </c>
      <c r="B11" s="38">
        <f t="shared" si="1"/>
        <v>7</v>
      </c>
      <c r="C11" s="38"/>
      <c r="D11" s="50" t="str">
        <f t="shared" si="0"/>
        <v>(D7)</v>
      </c>
      <c r="E11" s="50" t="s">
        <v>1</v>
      </c>
      <c r="F11" s="51" t="s">
        <v>0</v>
      </c>
      <c r="G11" s="52" t="s">
        <v>636</v>
      </c>
      <c r="H11" s="47" t="s">
        <v>7</v>
      </c>
      <c r="I11" s="50" t="s">
        <v>1503</v>
      </c>
      <c r="J11" s="51" t="s">
        <v>0</v>
      </c>
      <c r="K11" s="50" t="s">
        <v>1</v>
      </c>
      <c r="L11" s="55"/>
      <c r="M11" s="92"/>
      <c r="N11" s="63" t="e">
        <f ca="1">SUMIFS(OFFSET(#REF!,0,MATCH($N$1,#REF!,FALSE)-1,1000,1),#REF!,"="&amp;A11)</f>
        <v>#REF!</v>
      </c>
      <c r="O11" s="65" t="e">
        <f ca="1">SUMIFS(OFFSET(#REF!,0,MATCH($O$1,#REF!,FALSE)-1,1000,1),#REF!,"="&amp;A11)</f>
        <v>#REF!</v>
      </c>
      <c r="P11" s="50" t="e">
        <f>VLOOKUP(VLOOKUP(A11,Reactions!A3:W656,22,FALSE),$T$5:$U$10,2,FALSE)</f>
        <v>#N/A</v>
      </c>
    </row>
    <row r="12" spans="1:23" ht="24" customHeight="1" x14ac:dyDescent="0.25">
      <c r="A12" s="49" t="s">
        <v>1353</v>
      </c>
      <c r="B12" s="38">
        <f t="shared" si="1"/>
        <v>8</v>
      </c>
      <c r="C12" s="38"/>
      <c r="D12" s="49" t="str">
        <f t="shared" si="0"/>
        <v>(D8)</v>
      </c>
      <c r="E12" s="50" t="s">
        <v>1</v>
      </c>
      <c r="F12" s="51" t="s">
        <v>0</v>
      </c>
      <c r="G12" s="52" t="s">
        <v>636</v>
      </c>
      <c r="H12" s="47" t="s">
        <v>7</v>
      </c>
      <c r="I12" s="50" t="s">
        <v>1509</v>
      </c>
      <c r="J12" s="51" t="s">
        <v>0</v>
      </c>
      <c r="K12" s="50" t="s">
        <v>1</v>
      </c>
      <c r="L12" s="55"/>
      <c r="M12" s="92"/>
      <c r="N12" s="63" t="e">
        <f ca="1">SUMIFS(OFFSET(#REF!,0,MATCH($N$1,#REF!,FALSE)-1,1000,1),#REF!,"="&amp;A12)</f>
        <v>#REF!</v>
      </c>
      <c r="O12" s="65" t="e">
        <f ca="1">SUMIFS(OFFSET(#REF!,0,MATCH($O$1,#REF!,FALSE)-1,1000,1),#REF!,"="&amp;A12)</f>
        <v>#REF!</v>
      </c>
      <c r="P12" s="50" t="e">
        <f>VLOOKUP(VLOOKUP(A12,Reactions!A3:W657,22,FALSE),$T$5:$U$10,2,FALSE)</f>
        <v>#N/A</v>
      </c>
      <c r="T12"/>
    </row>
    <row r="13" spans="1:23" ht="24" customHeight="1" x14ac:dyDescent="0.25">
      <c r="A13" s="50" t="s">
        <v>17</v>
      </c>
      <c r="B13" s="38">
        <f t="shared" si="1"/>
        <v>9</v>
      </c>
      <c r="C13" s="38"/>
      <c r="D13" s="95" t="str">
        <f t="shared" si="0"/>
        <v>(D9)</v>
      </c>
      <c r="E13" s="95" t="s">
        <v>1</v>
      </c>
      <c r="F13" s="96" t="s">
        <v>0</v>
      </c>
      <c r="G13" s="97" t="s">
        <v>636</v>
      </c>
      <c r="H13" s="83" t="s">
        <v>7</v>
      </c>
      <c r="I13" s="95" t="s">
        <v>1510</v>
      </c>
      <c r="J13" s="96" t="s">
        <v>0</v>
      </c>
      <c r="K13" s="95" t="s">
        <v>1053</v>
      </c>
      <c r="L13" s="96"/>
      <c r="M13" s="98"/>
      <c r="N13" s="99" t="e">
        <f ca="1">SUMIFS(OFFSET(#REF!,0,MATCH($N$1,#REF!,FALSE)-1,1000,1),#REF!,"="&amp;A13)</f>
        <v>#REF!</v>
      </c>
      <c r="O13" s="100" t="e">
        <f ca="1">SUMIFS(OFFSET(#REF!,0,MATCH($O$1,#REF!,FALSE)-1,1000,1),#REF!,"="&amp;A13)</f>
        <v>#REF!</v>
      </c>
      <c r="P13" s="95" t="e">
        <f>VLOOKUP(VLOOKUP(A13,Reactions!A3:W658,22,FALSE),$T$5:$U$10,2,FALSE)</f>
        <v>#N/A</v>
      </c>
      <c r="T13"/>
    </row>
    <row r="14" spans="1:23" ht="24" customHeight="1" x14ac:dyDescent="0.25">
      <c r="A14" s="50"/>
      <c r="B14" s="38"/>
      <c r="C14" s="38"/>
      <c r="D14" s="103"/>
      <c r="E14" s="103"/>
      <c r="F14" s="104"/>
      <c r="G14" s="101"/>
      <c r="H14" s="104"/>
      <c r="I14" s="103"/>
      <c r="J14" s="104"/>
      <c r="K14" s="103"/>
      <c r="L14" s="104"/>
      <c r="M14" s="101"/>
      <c r="N14" s="102"/>
      <c r="O14" s="102"/>
      <c r="P14" s="103"/>
      <c r="T14"/>
    </row>
    <row r="15" spans="1:23" ht="24" customHeight="1" x14ac:dyDescent="0.25">
      <c r="A15" s="50"/>
      <c r="B15" s="38"/>
      <c r="C15" s="38"/>
      <c r="D15" s="81" t="s">
        <v>2</v>
      </c>
      <c r="E15" s="73"/>
      <c r="F15" s="82"/>
      <c r="G15" s="82"/>
      <c r="H15" s="82"/>
      <c r="I15" s="84"/>
      <c r="J15" s="82"/>
      <c r="K15" s="73"/>
      <c r="L15" s="83"/>
      <c r="M15" s="87"/>
      <c r="N15" s="43" t="s">
        <v>1539</v>
      </c>
      <c r="O15" s="86"/>
      <c r="P15" s="85" t="s">
        <v>12</v>
      </c>
      <c r="T15"/>
    </row>
    <row r="16" spans="1:23" ht="24" customHeight="1" x14ac:dyDescent="0.25">
      <c r="A16" s="50"/>
      <c r="B16" s="38"/>
      <c r="C16" s="38"/>
      <c r="D16" s="74" t="s">
        <v>1351</v>
      </c>
      <c r="E16" s="75"/>
      <c r="F16" s="76"/>
      <c r="G16" s="77"/>
      <c r="H16" s="77"/>
      <c r="I16" s="74"/>
      <c r="J16" s="76"/>
      <c r="K16" s="74"/>
      <c r="L16" s="76"/>
      <c r="M16" s="88"/>
      <c r="N16" s="78" t="s">
        <v>1540</v>
      </c>
      <c r="O16" s="79" t="s">
        <v>1541</v>
      </c>
      <c r="P16" s="80" t="s">
        <v>1381</v>
      </c>
      <c r="T16"/>
    </row>
    <row r="17" spans="1:20" ht="24" customHeight="1" x14ac:dyDescent="0.25">
      <c r="A17" s="50" t="s">
        <v>18</v>
      </c>
      <c r="B17" s="38">
        <f>B13+1</f>
        <v>10</v>
      </c>
      <c r="C17" s="38"/>
      <c r="D17" s="50" t="str">
        <f t="shared" si="0"/>
        <v>(D10)</v>
      </c>
      <c r="E17" s="50" t="s">
        <v>1</v>
      </c>
      <c r="F17" s="51" t="s">
        <v>0</v>
      </c>
      <c r="G17" s="52" t="s">
        <v>1511</v>
      </c>
      <c r="H17" s="47" t="s">
        <v>7</v>
      </c>
      <c r="I17" s="50" t="s">
        <v>1411</v>
      </c>
      <c r="J17" s="51"/>
      <c r="K17" s="50"/>
      <c r="L17" s="51"/>
      <c r="M17" s="90"/>
      <c r="N17" s="63" t="e">
        <f ca="1">SUMIFS(OFFSET(#REF!,0,MATCH($N$1,#REF!,FALSE)-1,1000,1),#REF!,"="&amp;A17)</f>
        <v>#REF!</v>
      </c>
      <c r="O17" s="65" t="e">
        <f ca="1">SUMIFS(OFFSET(#REF!,0,MATCH($O$1,#REF!,FALSE)-1,1000,1),#REF!,"="&amp;A17)</f>
        <v>#REF!</v>
      </c>
      <c r="P17" s="50" t="e">
        <f>VLOOKUP(VLOOKUP(A17,Reactions!A3:W659,22,FALSE),$T$5:$U$10,2,FALSE)</f>
        <v>#N/A</v>
      </c>
      <c r="T17"/>
    </row>
    <row r="18" spans="1:20" ht="24" customHeight="1" x14ac:dyDescent="0.25">
      <c r="A18" s="50" t="s">
        <v>1457</v>
      </c>
      <c r="B18" s="38">
        <f t="shared" si="1"/>
        <v>11</v>
      </c>
      <c r="C18" s="38"/>
      <c r="D18" s="50" t="str">
        <f t="shared" si="0"/>
        <v>(D11)</v>
      </c>
      <c r="E18" s="50" t="s">
        <v>1</v>
      </c>
      <c r="F18" s="51" t="s">
        <v>0</v>
      </c>
      <c r="G18" s="52" t="s">
        <v>1511</v>
      </c>
      <c r="H18" s="47" t="s">
        <v>7</v>
      </c>
      <c r="I18" s="52" t="s">
        <v>1512</v>
      </c>
      <c r="J18" s="51" t="s">
        <v>0</v>
      </c>
      <c r="K18" s="52" t="s">
        <v>1</v>
      </c>
      <c r="L18" s="51"/>
      <c r="M18" s="90"/>
      <c r="N18" s="63" t="e">
        <f ca="1">SUMIFS(OFFSET(#REF!,0,MATCH($N$1,#REF!,FALSE)-1,1000,1),#REF!,"="&amp;A18)</f>
        <v>#REF!</v>
      </c>
      <c r="O18" s="65" t="e">
        <f ca="1">SUMIFS(OFFSET(#REF!,0,MATCH($O$1,#REF!,FALSE)-1,1000,1),#REF!,"="&amp;A18)</f>
        <v>#REF!</v>
      </c>
      <c r="P18" s="50" t="e">
        <f>VLOOKUP(VLOOKUP(A18,Reactions!A3:W660,22,FALSE),$T$5:$U$10,2,FALSE)</f>
        <v>#N/A</v>
      </c>
      <c r="T18"/>
    </row>
    <row r="19" spans="1:20" ht="24" customHeight="1" x14ac:dyDescent="0.25">
      <c r="A19" s="49" t="s">
        <v>1354</v>
      </c>
      <c r="B19" s="38">
        <f t="shared" si="1"/>
        <v>12</v>
      </c>
      <c r="C19" s="38"/>
      <c r="D19" s="49" t="str">
        <f t="shared" si="0"/>
        <v>(D12)</v>
      </c>
      <c r="E19" s="50" t="s">
        <v>1</v>
      </c>
      <c r="F19" s="51" t="s">
        <v>0</v>
      </c>
      <c r="G19" s="52" t="s">
        <v>1511</v>
      </c>
      <c r="H19" s="47" t="s">
        <v>7</v>
      </c>
      <c r="I19" s="52" t="s">
        <v>1513</v>
      </c>
      <c r="J19" s="51" t="s">
        <v>0</v>
      </c>
      <c r="K19" s="52" t="s">
        <v>1</v>
      </c>
      <c r="L19" s="51"/>
      <c r="M19" s="90"/>
      <c r="N19" s="63" t="e">
        <f ca="1">SUMIFS(OFFSET(#REF!,0,MATCH($N$1,#REF!,FALSE)-1,1000,1),#REF!,"="&amp;A19)</f>
        <v>#REF!</v>
      </c>
      <c r="O19" s="65" t="e">
        <f ca="1">SUMIFS(OFFSET(#REF!,0,MATCH($O$1,#REF!,FALSE)-1,1000,1),#REF!,"="&amp;A19)</f>
        <v>#REF!</v>
      </c>
      <c r="P19" s="50" t="e">
        <f>VLOOKUP(VLOOKUP(A19,Reactions!A3:W661,22,FALSE),$T$5:$U$10,2,FALSE)</f>
        <v>#N/A</v>
      </c>
      <c r="T19"/>
    </row>
    <row r="20" spans="1:20" ht="24" customHeight="1" x14ac:dyDescent="0.25">
      <c r="A20" s="50" t="s">
        <v>1460</v>
      </c>
      <c r="B20" s="38">
        <f t="shared" si="1"/>
        <v>13</v>
      </c>
      <c r="C20" s="38"/>
      <c r="D20" s="50" t="str">
        <f t="shared" si="0"/>
        <v>(D13)</v>
      </c>
      <c r="E20" s="50" t="s">
        <v>1</v>
      </c>
      <c r="F20" s="51" t="s">
        <v>0</v>
      </c>
      <c r="G20" s="56" t="s">
        <v>1511</v>
      </c>
      <c r="H20" s="47" t="s">
        <v>7</v>
      </c>
      <c r="I20" s="52" t="s">
        <v>639</v>
      </c>
      <c r="J20" s="51" t="s">
        <v>0</v>
      </c>
      <c r="K20" s="50" t="s">
        <v>1514</v>
      </c>
      <c r="L20" s="51" t="s">
        <v>0</v>
      </c>
      <c r="M20" s="90" t="s">
        <v>1053</v>
      </c>
      <c r="N20" s="63" t="e">
        <f ca="1">SUMIFS(OFFSET(#REF!,0,MATCH($N$1,#REF!,FALSE)-1,1000,1),#REF!,"="&amp;A20)</f>
        <v>#REF!</v>
      </c>
      <c r="O20" s="65" t="e">
        <f ca="1">SUMIFS(OFFSET(#REF!,0,MATCH($O$1,#REF!,FALSE)-1,1000,1),#REF!,"="&amp;A20)</f>
        <v>#REF!</v>
      </c>
      <c r="P20" s="50" t="e">
        <f>VLOOKUP(VLOOKUP(A20,Reactions!A3:W662,22,FALSE),$T$5:$U$10,2,FALSE)</f>
        <v>#N/A</v>
      </c>
      <c r="T20"/>
    </row>
    <row r="21" spans="1:20" ht="24" customHeight="1" x14ac:dyDescent="0.25">
      <c r="A21" s="50" t="s">
        <v>1458</v>
      </c>
      <c r="B21" s="38">
        <f t="shared" si="1"/>
        <v>14</v>
      </c>
      <c r="C21" s="38"/>
      <c r="D21" s="50" t="str">
        <f t="shared" si="0"/>
        <v>(D14)</v>
      </c>
      <c r="E21" s="50" t="s">
        <v>1</v>
      </c>
      <c r="F21" s="51" t="s">
        <v>0</v>
      </c>
      <c r="G21" s="57" t="s">
        <v>1511</v>
      </c>
      <c r="H21" s="47" t="s">
        <v>7</v>
      </c>
      <c r="I21" s="50" t="s">
        <v>1515</v>
      </c>
      <c r="J21" s="51" t="s">
        <v>0</v>
      </c>
      <c r="K21" s="50" t="s">
        <v>1</v>
      </c>
      <c r="L21" s="51"/>
      <c r="M21" s="90"/>
      <c r="N21" s="63" t="e">
        <f ca="1">SUMIFS(OFFSET(#REF!,0,MATCH($N$1,#REF!,FALSE)-1,1000,1),#REF!,"="&amp;A21)</f>
        <v>#REF!</v>
      </c>
      <c r="O21" s="65" t="e">
        <f ca="1">SUMIFS(OFFSET(#REF!,0,MATCH($O$1,#REF!,FALSE)-1,1000,1),#REF!,"="&amp;A21)</f>
        <v>#REF!</v>
      </c>
      <c r="P21" s="50" t="e">
        <f>VLOOKUP(VLOOKUP(A21,Reactions!A3:W663,22,FALSE),$T$5:$U$10,2,FALSE)</f>
        <v>#N/A</v>
      </c>
      <c r="T21"/>
    </row>
    <row r="22" spans="1:20" ht="24" customHeight="1" x14ac:dyDescent="0.25">
      <c r="A22" s="50" t="s">
        <v>1372</v>
      </c>
      <c r="B22" s="38">
        <f>B72+1</f>
        <v>49</v>
      </c>
      <c r="C22" s="38"/>
      <c r="D22" s="50" t="str">
        <f>"(D"&amp;B22&amp;")"</f>
        <v>(D49)</v>
      </c>
      <c r="E22" s="50" t="s">
        <v>1</v>
      </c>
      <c r="F22" s="51" t="s">
        <v>0</v>
      </c>
      <c r="G22" s="58" t="s">
        <v>1530</v>
      </c>
      <c r="H22" s="47" t="s">
        <v>7</v>
      </c>
      <c r="I22" s="58" t="s">
        <v>1531</v>
      </c>
      <c r="J22" s="51" t="s">
        <v>0</v>
      </c>
      <c r="K22" s="58" t="s">
        <v>687</v>
      </c>
      <c r="L22" s="51"/>
      <c r="M22" s="90"/>
      <c r="N22" s="63" t="e">
        <f ca="1">SUMIFS(OFFSET(#REF!,0,MATCH($N$1,#REF!,FALSE)-1,1000,1),#REF!,"="&amp;A22)</f>
        <v>#REF!</v>
      </c>
      <c r="O22" s="65" t="e">
        <f ca="1">SUMIFS(OFFSET(#REF!,0,MATCH($O$1,#REF!,FALSE)-1,1000,1),#REF!,"="&amp;A22)</f>
        <v>#REF!</v>
      </c>
      <c r="P22" s="59" t="e">
        <f>VLOOKUP(VLOOKUP(A22,Reactions!A3:W698,22,FALSE),$T$5:$U$10,2,FALSE)</f>
        <v>#N/A</v>
      </c>
      <c r="T22"/>
    </row>
    <row r="23" spans="1:20" ht="24" customHeight="1" x14ac:dyDescent="0.25">
      <c r="A23" s="50" t="s">
        <v>71</v>
      </c>
      <c r="B23" s="38">
        <f>B22+1</f>
        <v>50</v>
      </c>
      <c r="C23" s="38"/>
      <c r="D23" s="50" t="str">
        <f>"(D"&amp;B23&amp;")"</f>
        <v>(D50)</v>
      </c>
      <c r="E23" s="50" t="s">
        <v>1</v>
      </c>
      <c r="F23" s="51" t="s">
        <v>0</v>
      </c>
      <c r="G23" s="58" t="s">
        <v>1511</v>
      </c>
      <c r="H23" s="47" t="s">
        <v>7</v>
      </c>
      <c r="I23" s="58" t="s">
        <v>1519</v>
      </c>
      <c r="J23" s="51" t="s">
        <v>0</v>
      </c>
      <c r="K23" s="58" t="s">
        <v>639</v>
      </c>
      <c r="L23" s="51"/>
      <c r="M23" s="90"/>
      <c r="N23" s="63" t="e">
        <f ca="1">SUMIFS(OFFSET(#REF!,0,MATCH($N$1,#REF!,FALSE)-1,1000,1),#REF!,"="&amp;A23)</f>
        <v>#REF!</v>
      </c>
      <c r="O23" s="65" t="e">
        <f ca="1">SUMIFS(OFFSET(#REF!,0,MATCH($O$1,#REF!,FALSE)-1,1000,1),#REF!,"="&amp;A23)</f>
        <v>#REF!</v>
      </c>
      <c r="P23" s="50" t="e">
        <f>VLOOKUP(VLOOKUP(A23,Reactions!A3:W699,22,FALSE),$T$5:$U$10,2,FALSE)</f>
        <v>#N/A</v>
      </c>
      <c r="T23"/>
    </row>
    <row r="24" spans="1:20" ht="24" customHeight="1" x14ac:dyDescent="0.25">
      <c r="A24" s="50" t="s">
        <v>1459</v>
      </c>
      <c r="B24" s="38">
        <f>B21+1</f>
        <v>15</v>
      </c>
      <c r="C24" s="38"/>
      <c r="D24" s="50" t="str">
        <f t="shared" si="0"/>
        <v>(D15)</v>
      </c>
      <c r="E24" s="50" t="s">
        <v>1</v>
      </c>
      <c r="F24" s="51" t="s">
        <v>0</v>
      </c>
      <c r="G24" s="52" t="s">
        <v>1511</v>
      </c>
      <c r="H24" s="47" t="s">
        <v>7</v>
      </c>
      <c r="I24" s="50" t="s">
        <v>1516</v>
      </c>
      <c r="J24" s="51" t="s">
        <v>0</v>
      </c>
      <c r="K24" s="50" t="s">
        <v>1</v>
      </c>
      <c r="L24" s="51"/>
      <c r="M24" s="90"/>
      <c r="N24" s="63" t="e">
        <f ca="1">SUMIFS(OFFSET(#REF!,0,MATCH($N$1,#REF!,FALSE)-1,1000,1),#REF!,"="&amp;A24)</f>
        <v>#REF!</v>
      </c>
      <c r="O24" s="65" t="e">
        <f ca="1">SUMIFS(OFFSET(#REF!,0,MATCH($O$1,#REF!,FALSE)-1,1000,1),#REF!,"="&amp;A24)</f>
        <v>#REF!</v>
      </c>
      <c r="P24" s="50" t="e">
        <f>VLOOKUP(VLOOKUP(A24,Reactions!A3:W664,22,FALSE),$T$5:$U$10,2,FALSE)</f>
        <v>#N/A</v>
      </c>
      <c r="T24"/>
    </row>
    <row r="25" spans="1:20" ht="24" customHeight="1" x14ac:dyDescent="0.25">
      <c r="A25" s="50" t="s">
        <v>19</v>
      </c>
      <c r="B25" s="38">
        <f t="shared" si="1"/>
        <v>16</v>
      </c>
      <c r="C25" s="38"/>
      <c r="D25" s="50" t="str">
        <f t="shared" si="0"/>
        <v>(D16)</v>
      </c>
      <c r="E25" s="50" t="s">
        <v>1</v>
      </c>
      <c r="F25" s="51" t="s">
        <v>0</v>
      </c>
      <c r="G25" s="52" t="s">
        <v>1511</v>
      </c>
      <c r="H25" s="47" t="s">
        <v>7</v>
      </c>
      <c r="I25" s="50" t="s">
        <v>1517</v>
      </c>
      <c r="J25" s="51" t="s">
        <v>0</v>
      </c>
      <c r="K25" s="50" t="s">
        <v>639</v>
      </c>
      <c r="L25" s="51" t="s">
        <v>0</v>
      </c>
      <c r="M25" s="90" t="s">
        <v>1</v>
      </c>
      <c r="N25" s="63" t="e">
        <f ca="1">SUMIFS(OFFSET(#REF!,0,MATCH($N$1,#REF!,FALSE)-1,1000,1),#REF!,"="&amp;A25)</f>
        <v>#REF!</v>
      </c>
      <c r="O25" s="65" t="e">
        <f ca="1">SUMIFS(OFFSET(#REF!,0,MATCH($O$1,#REF!,FALSE)-1,1000,1),#REF!,"="&amp;A25)</f>
        <v>#REF!</v>
      </c>
      <c r="P25" s="50" t="e">
        <f>VLOOKUP(VLOOKUP(A25,Reactions!A3:W665,22,FALSE),$T$5:$U$10,2,FALSE)</f>
        <v>#N/A</v>
      </c>
      <c r="T25"/>
    </row>
    <row r="26" spans="1:20" ht="24" customHeight="1" x14ac:dyDescent="0.25">
      <c r="A26" s="50" t="s">
        <v>1355</v>
      </c>
      <c r="B26" s="38">
        <f t="shared" si="1"/>
        <v>17</v>
      </c>
      <c r="C26" s="38"/>
      <c r="D26" s="50" t="str">
        <f t="shared" si="0"/>
        <v>(D17)</v>
      </c>
      <c r="E26" s="50" t="s">
        <v>1</v>
      </c>
      <c r="F26" s="51" t="s">
        <v>0</v>
      </c>
      <c r="G26" s="52" t="s">
        <v>1511</v>
      </c>
      <c r="H26" s="47" t="s">
        <v>7</v>
      </c>
      <c r="I26" s="50" t="s">
        <v>1517</v>
      </c>
      <c r="J26" s="51" t="s">
        <v>0</v>
      </c>
      <c r="K26" s="50" t="s">
        <v>639</v>
      </c>
      <c r="L26" s="51" t="s">
        <v>0</v>
      </c>
      <c r="M26" s="90" t="s">
        <v>1</v>
      </c>
      <c r="N26" s="63" t="e">
        <f ca="1">SUMIFS(OFFSET(#REF!,0,MATCH($N$1,#REF!,FALSE)-1,1000,1),#REF!,"="&amp;A26)</f>
        <v>#REF!</v>
      </c>
      <c r="O26" s="65" t="e">
        <f ca="1">SUMIFS(OFFSET(#REF!,0,MATCH($O$1,#REF!,FALSE)-1,1000,1),#REF!,"="&amp;A26)</f>
        <v>#REF!</v>
      </c>
      <c r="P26" s="50" t="e">
        <f>VLOOKUP(VLOOKUP(A26,Reactions!A3:W666,22,FALSE),$T$5:$U$10,2,FALSE)</f>
        <v>#N/A</v>
      </c>
      <c r="T26"/>
    </row>
    <row r="27" spans="1:20" ht="24" customHeight="1" x14ac:dyDescent="0.25">
      <c r="A27" s="50" t="s">
        <v>20</v>
      </c>
      <c r="B27" s="38">
        <f t="shared" si="1"/>
        <v>18</v>
      </c>
      <c r="C27" s="38"/>
      <c r="D27" s="95" t="str">
        <f t="shared" si="0"/>
        <v>(D18)</v>
      </c>
      <c r="E27" s="95" t="s">
        <v>1</v>
      </c>
      <c r="F27" s="96" t="s">
        <v>0</v>
      </c>
      <c r="G27" s="97" t="s">
        <v>1511</v>
      </c>
      <c r="H27" s="83" t="s">
        <v>7</v>
      </c>
      <c r="I27" s="95" t="s">
        <v>1518</v>
      </c>
      <c r="J27" s="96" t="s">
        <v>0</v>
      </c>
      <c r="K27" s="95" t="s">
        <v>1</v>
      </c>
      <c r="L27" s="96"/>
      <c r="M27" s="98"/>
      <c r="N27" s="99" t="e">
        <f ca="1">SUMIFS(OFFSET(#REF!,0,MATCH($N$1,#REF!,FALSE)-1,1000,1),#REF!,"="&amp;A27)</f>
        <v>#REF!</v>
      </c>
      <c r="O27" s="100" t="e">
        <f ca="1">SUMIFS(OFFSET(#REF!,0,MATCH($O$1,#REF!,FALSE)-1,1000,1),#REF!,"="&amp;A27)</f>
        <v>#REF!</v>
      </c>
      <c r="P27" s="95" t="e">
        <f>VLOOKUP(VLOOKUP(A27,Reactions!A3:W667,22,FALSE),$T$5:$U$10,2,FALSE)</f>
        <v>#N/A</v>
      </c>
      <c r="T27"/>
    </row>
    <row r="28" spans="1:20" ht="24" customHeight="1" x14ac:dyDescent="0.25">
      <c r="A28" s="50"/>
      <c r="B28" s="38"/>
      <c r="C28" s="38"/>
      <c r="D28" s="38"/>
      <c r="H28" s="39"/>
      <c r="P28" s="38"/>
      <c r="T28"/>
    </row>
    <row r="29" spans="1:20" ht="24" customHeight="1" x14ac:dyDescent="0.25">
      <c r="A29" s="50"/>
      <c r="B29" s="38"/>
      <c r="C29" s="38"/>
      <c r="D29" s="81" t="s">
        <v>2</v>
      </c>
      <c r="E29" s="73"/>
      <c r="F29" s="82"/>
      <c r="G29" s="82"/>
      <c r="H29" s="82"/>
      <c r="I29" s="84"/>
      <c r="J29" s="82"/>
      <c r="K29" s="73"/>
      <c r="L29" s="83"/>
      <c r="M29" s="87"/>
      <c r="N29" s="43" t="s">
        <v>1539</v>
      </c>
      <c r="O29" s="86"/>
      <c r="P29" s="85" t="s">
        <v>12</v>
      </c>
      <c r="T29"/>
    </row>
    <row r="30" spans="1:20" ht="24" customHeight="1" x14ac:dyDescent="0.25">
      <c r="A30" s="50"/>
      <c r="B30" s="38"/>
      <c r="C30" s="38"/>
      <c r="D30" s="74" t="s">
        <v>1351</v>
      </c>
      <c r="E30" s="75"/>
      <c r="F30" s="76"/>
      <c r="G30" s="77"/>
      <c r="H30" s="77"/>
      <c r="I30" s="74"/>
      <c r="J30" s="76"/>
      <c r="K30" s="74"/>
      <c r="L30" s="76"/>
      <c r="M30" s="88"/>
      <c r="N30" s="78" t="s">
        <v>1540</v>
      </c>
      <c r="O30" s="79" t="s">
        <v>1541</v>
      </c>
      <c r="P30" s="80" t="s">
        <v>1381</v>
      </c>
      <c r="T30"/>
    </row>
    <row r="31" spans="1:20" ht="24" customHeight="1" x14ac:dyDescent="0.25">
      <c r="A31" s="50" t="s">
        <v>1356</v>
      </c>
      <c r="B31" s="38">
        <f>B27+1</f>
        <v>19</v>
      </c>
      <c r="C31" s="38"/>
      <c r="D31" s="50" t="str">
        <f t="shared" si="0"/>
        <v>(D19)</v>
      </c>
      <c r="E31" s="50" t="s">
        <v>1</v>
      </c>
      <c r="F31" s="51" t="s">
        <v>0</v>
      </c>
      <c r="G31" s="50" t="s">
        <v>1518</v>
      </c>
      <c r="H31" s="47" t="s">
        <v>7</v>
      </c>
      <c r="I31" s="50" t="s">
        <v>1519</v>
      </c>
      <c r="J31" s="51" t="s">
        <v>0</v>
      </c>
      <c r="K31" s="50" t="s">
        <v>639</v>
      </c>
      <c r="L31" s="51"/>
      <c r="M31" s="90"/>
      <c r="N31" s="63" t="e">
        <f ca="1">SUMIFS(OFFSET(#REF!,0,MATCH($N$1,#REF!,FALSE)-1,1000,1),#REF!,"="&amp;A31)</f>
        <v>#REF!</v>
      </c>
      <c r="O31" s="65" t="e">
        <f ca="1">SUMIFS(OFFSET(#REF!,0,MATCH($O$1,#REF!,FALSE)-1,1000,1),#REF!,"="&amp;A31)</f>
        <v>#REF!</v>
      </c>
      <c r="P31" s="50" t="e">
        <f>VLOOKUP(VLOOKUP(A31,Reactions!A3:W668,22,FALSE),$T$5:$U$10,2,FALSE)</f>
        <v>#N/A</v>
      </c>
      <c r="T31"/>
    </row>
    <row r="32" spans="1:20" ht="24" customHeight="1" x14ac:dyDescent="0.25">
      <c r="A32" s="50" t="s">
        <v>1357</v>
      </c>
      <c r="B32" s="38">
        <f t="shared" si="1"/>
        <v>20</v>
      </c>
      <c r="C32" s="38"/>
      <c r="D32" s="50" t="str">
        <f t="shared" si="0"/>
        <v>(D20)</v>
      </c>
      <c r="E32" s="50" t="s">
        <v>1</v>
      </c>
      <c r="F32" s="51" t="s">
        <v>0</v>
      </c>
      <c r="G32" s="50" t="s">
        <v>1518</v>
      </c>
      <c r="H32" s="47" t="s">
        <v>7</v>
      </c>
      <c r="I32" s="50" t="s">
        <v>1515</v>
      </c>
      <c r="J32" s="51" t="s">
        <v>0</v>
      </c>
      <c r="K32" s="50" t="s">
        <v>1</v>
      </c>
      <c r="L32" s="51"/>
      <c r="M32" s="90"/>
      <c r="N32" s="63" t="e">
        <f ca="1">SUMIFS(OFFSET(#REF!,0,MATCH($N$1,#REF!,FALSE)-1,1000,1),#REF!,"="&amp;A32)</f>
        <v>#REF!</v>
      </c>
      <c r="O32" s="65" t="e">
        <f ca="1">SUMIFS(OFFSET(#REF!,0,MATCH($O$1,#REF!,FALSE)-1,1000,1),#REF!,"="&amp;A32)</f>
        <v>#REF!</v>
      </c>
      <c r="P32" s="50" t="e">
        <f>VLOOKUP(VLOOKUP(A32,Reactions!A3:W669,22,FALSE),$T$5:$U$10,2,FALSE)</f>
        <v>#N/A</v>
      </c>
      <c r="T32"/>
    </row>
    <row r="33" spans="1:20" ht="24" customHeight="1" x14ac:dyDescent="0.25">
      <c r="A33" s="50" t="s">
        <v>1358</v>
      </c>
      <c r="B33" s="38">
        <f t="shared" si="1"/>
        <v>21</v>
      </c>
      <c r="C33" s="38"/>
      <c r="D33" s="50" t="str">
        <f t="shared" si="0"/>
        <v>(D21)</v>
      </c>
      <c r="E33" s="50" t="s">
        <v>1</v>
      </c>
      <c r="F33" s="51" t="s">
        <v>0</v>
      </c>
      <c r="G33" s="50" t="s">
        <v>1518</v>
      </c>
      <c r="H33" s="47" t="s">
        <v>7</v>
      </c>
      <c r="I33" s="50" t="s">
        <v>1516</v>
      </c>
      <c r="J33" s="51" t="s">
        <v>0</v>
      </c>
      <c r="K33" s="50" t="s">
        <v>1</v>
      </c>
      <c r="L33" s="51"/>
      <c r="M33" s="90"/>
      <c r="N33" s="63" t="e">
        <f ca="1">SUMIFS(OFFSET(#REF!,0,MATCH($N$1,#REF!,FALSE)-1,1000,1),#REF!,"="&amp;A33)</f>
        <v>#REF!</v>
      </c>
      <c r="O33" s="65" t="e">
        <f ca="1">SUMIFS(OFFSET(#REF!,0,MATCH($O$1,#REF!,FALSE)-1,1000,1),#REF!,"="&amp;A33)</f>
        <v>#REF!</v>
      </c>
      <c r="P33" s="50" t="e">
        <f>VLOOKUP(VLOOKUP(A33,Reactions!A3:W670,22,FALSE),$T$5:$U$10,2,FALSE)</f>
        <v>#N/A</v>
      </c>
      <c r="T33"/>
    </row>
    <row r="34" spans="1:20" ht="24" customHeight="1" x14ac:dyDescent="0.25">
      <c r="A34" s="50" t="s">
        <v>1359</v>
      </c>
      <c r="B34" s="38">
        <f t="shared" si="1"/>
        <v>22</v>
      </c>
      <c r="C34" s="38"/>
      <c r="D34" s="50" t="str">
        <f t="shared" si="0"/>
        <v>(D22)</v>
      </c>
      <c r="E34" s="50" t="s">
        <v>1</v>
      </c>
      <c r="F34" s="51" t="s">
        <v>0</v>
      </c>
      <c r="G34" s="50" t="s">
        <v>1518</v>
      </c>
      <c r="H34" s="47" t="s">
        <v>7</v>
      </c>
      <c r="I34" s="50" t="s">
        <v>1411</v>
      </c>
      <c r="J34" s="51"/>
      <c r="K34" s="50"/>
      <c r="L34" s="51"/>
      <c r="M34" s="90"/>
      <c r="N34" s="63" t="e">
        <f ca="1">SUMIFS(OFFSET(#REF!,0,MATCH($N$1,#REF!,FALSE)-1,1000,1),#REF!,"="&amp;A34)</f>
        <v>#REF!</v>
      </c>
      <c r="O34" s="65" t="e">
        <f ca="1">SUMIFS(OFFSET(#REF!,0,MATCH($O$1,#REF!,FALSE)-1,1000,1),#REF!,"="&amp;A34)</f>
        <v>#REF!</v>
      </c>
      <c r="P34" s="50" t="e">
        <f>VLOOKUP(VLOOKUP(A34,Reactions!A3:W671,22,FALSE),$T$5:$U$10,2,FALSE)</f>
        <v>#N/A</v>
      </c>
      <c r="T34"/>
    </row>
    <row r="35" spans="1:20" ht="24" customHeight="1" x14ac:dyDescent="0.25">
      <c r="A35" s="50" t="s">
        <v>1360</v>
      </c>
      <c r="B35" s="38">
        <f t="shared" si="1"/>
        <v>23</v>
      </c>
      <c r="C35" s="38"/>
      <c r="D35" s="50" t="str">
        <f t="shared" si="0"/>
        <v>(D23)</v>
      </c>
      <c r="E35" s="50" t="s">
        <v>1</v>
      </c>
      <c r="F35" s="51" t="s">
        <v>0</v>
      </c>
      <c r="G35" s="50" t="s">
        <v>1518</v>
      </c>
      <c r="H35" s="47" t="s">
        <v>7</v>
      </c>
      <c r="I35" s="50" t="s">
        <v>1517</v>
      </c>
      <c r="J35" s="51" t="s">
        <v>0</v>
      </c>
      <c r="K35" s="50" t="s">
        <v>639</v>
      </c>
      <c r="L35" s="51"/>
      <c r="M35" s="90"/>
      <c r="N35" s="63" t="e">
        <f ca="1">SUMIFS(OFFSET(#REF!,0,MATCH($N$1,#REF!,FALSE)-1,1000,1),#REF!,"="&amp;A35)</f>
        <v>#REF!</v>
      </c>
      <c r="O35" s="65" t="e">
        <f ca="1">SUMIFS(OFFSET(#REF!,0,MATCH($O$1,#REF!,FALSE)-1,1000,1),#REF!,"="&amp;A35)</f>
        <v>#REF!</v>
      </c>
      <c r="P35" s="50" t="e">
        <f>VLOOKUP(VLOOKUP(A35,Reactions!A3:W672,22,FALSE),$T$5:$U$10,2,FALSE)</f>
        <v>#N/A</v>
      </c>
      <c r="T35"/>
    </row>
    <row r="36" spans="1:20" ht="24" customHeight="1" x14ac:dyDescent="0.25">
      <c r="A36" s="50" t="s">
        <v>1361</v>
      </c>
      <c r="B36" s="38">
        <f t="shared" si="1"/>
        <v>24</v>
      </c>
      <c r="C36" s="38"/>
      <c r="D36" s="50" t="str">
        <f t="shared" si="0"/>
        <v>(D24)</v>
      </c>
      <c r="E36" s="50" t="s">
        <v>1</v>
      </c>
      <c r="F36" s="51" t="s">
        <v>0</v>
      </c>
      <c r="G36" s="50" t="s">
        <v>1518</v>
      </c>
      <c r="H36" s="47" t="s">
        <v>7</v>
      </c>
      <c r="I36" s="58" t="s">
        <v>1520</v>
      </c>
      <c r="J36" s="51" t="s">
        <v>0</v>
      </c>
      <c r="K36" s="50" t="s">
        <v>1053</v>
      </c>
      <c r="L36" s="51"/>
      <c r="M36" s="90"/>
      <c r="N36" s="63" t="e">
        <f ca="1">SUMIFS(OFFSET(#REF!,0,MATCH($N$1,#REF!,FALSE)-1,1000,1),#REF!,"="&amp;A36)</f>
        <v>#REF!</v>
      </c>
      <c r="O36" s="65" t="e">
        <f ca="1">SUMIFS(OFFSET(#REF!,0,MATCH($O$1,#REF!,FALSE)-1,1000,1),#REF!,"="&amp;A36)</f>
        <v>#REF!</v>
      </c>
      <c r="P36" s="50" t="e">
        <f>VLOOKUP(VLOOKUP(A36,Reactions!A3:W673,22,FALSE),$T$5:$U$10,2,FALSE)</f>
        <v>#N/A</v>
      </c>
      <c r="T36"/>
    </row>
    <row r="37" spans="1:20" ht="24" customHeight="1" x14ac:dyDescent="0.25">
      <c r="A37" s="50" t="s">
        <v>1362</v>
      </c>
      <c r="B37" s="38">
        <f t="shared" si="1"/>
        <v>25</v>
      </c>
      <c r="C37" s="38"/>
      <c r="D37" s="50" t="str">
        <f t="shared" si="0"/>
        <v>(D25)</v>
      </c>
      <c r="E37" s="50" t="s">
        <v>1</v>
      </c>
      <c r="F37" s="51" t="s">
        <v>0</v>
      </c>
      <c r="G37" s="50" t="s">
        <v>1515</v>
      </c>
      <c r="H37" s="47" t="s">
        <v>7</v>
      </c>
      <c r="I37" s="50" t="s">
        <v>1519</v>
      </c>
      <c r="J37" s="51" t="s">
        <v>0</v>
      </c>
      <c r="K37" s="50" t="s">
        <v>639</v>
      </c>
      <c r="L37" s="51"/>
      <c r="M37" s="90"/>
      <c r="N37" s="63" t="e">
        <f ca="1">SUMIFS(OFFSET(#REF!,0,MATCH($N$1,#REF!,FALSE)-1,1000,1),#REF!,"="&amp;A37)</f>
        <v>#REF!</v>
      </c>
      <c r="O37" s="65" t="e">
        <f ca="1">SUMIFS(OFFSET(#REF!,0,MATCH($O$1,#REF!,FALSE)-1,1000,1),#REF!,"="&amp;A37)</f>
        <v>#REF!</v>
      </c>
      <c r="P37" s="50" t="e">
        <f>VLOOKUP(VLOOKUP(A37,Reactions!A3:W674,22,FALSE),$T$5:$U$10,2,FALSE)</f>
        <v>#N/A</v>
      </c>
      <c r="T37"/>
    </row>
    <row r="38" spans="1:20" ht="24" customHeight="1" x14ac:dyDescent="0.25">
      <c r="A38" s="50" t="s">
        <v>1363</v>
      </c>
      <c r="B38" s="38">
        <f t="shared" si="1"/>
        <v>26</v>
      </c>
      <c r="C38" s="38"/>
      <c r="D38" s="50" t="str">
        <f t="shared" si="0"/>
        <v>(D26)</v>
      </c>
      <c r="E38" s="50" t="s">
        <v>1</v>
      </c>
      <c r="F38" s="51" t="s">
        <v>0</v>
      </c>
      <c r="G38" s="50" t="s">
        <v>1515</v>
      </c>
      <c r="H38" s="47" t="s">
        <v>7</v>
      </c>
      <c r="I38" s="50" t="s">
        <v>1516</v>
      </c>
      <c r="J38" s="51" t="s">
        <v>0</v>
      </c>
      <c r="K38" s="50" t="s">
        <v>1</v>
      </c>
      <c r="L38" s="51"/>
      <c r="M38" s="90"/>
      <c r="N38" s="63" t="e">
        <f ca="1">SUMIFS(OFFSET(#REF!,0,MATCH($N$1,#REF!,FALSE)-1,1000,1),#REF!,"="&amp;A38)</f>
        <v>#REF!</v>
      </c>
      <c r="O38" s="65" t="e">
        <f ca="1">SUMIFS(OFFSET(#REF!,0,MATCH($O$1,#REF!,FALSE)-1,1000,1),#REF!,"="&amp;A38)</f>
        <v>#REF!</v>
      </c>
      <c r="P38" s="50" t="e">
        <f>VLOOKUP(VLOOKUP(A38,Reactions!A3:W675,22,FALSE),$T$5:$U$10,2,FALSE)</f>
        <v>#N/A</v>
      </c>
      <c r="T38"/>
    </row>
    <row r="39" spans="1:20" ht="24" customHeight="1" x14ac:dyDescent="0.25">
      <c r="A39" s="50" t="s">
        <v>1364</v>
      </c>
      <c r="B39" s="38">
        <f t="shared" si="1"/>
        <v>27</v>
      </c>
      <c r="C39" s="38"/>
      <c r="D39" s="50" t="str">
        <f t="shared" si="0"/>
        <v>(D27)</v>
      </c>
      <c r="E39" s="50" t="s">
        <v>1</v>
      </c>
      <c r="F39" s="51" t="s">
        <v>0</v>
      </c>
      <c r="G39" s="50" t="s">
        <v>1515</v>
      </c>
      <c r="H39" s="47" t="s">
        <v>7</v>
      </c>
      <c r="I39" s="50" t="s">
        <v>1411</v>
      </c>
      <c r="J39" s="51"/>
      <c r="K39" s="50"/>
      <c r="L39" s="51"/>
      <c r="M39" s="90"/>
      <c r="N39" s="63" t="e">
        <f ca="1">SUMIFS(OFFSET(#REF!,0,MATCH($N$1,#REF!,FALSE)-1,1000,1),#REF!,"="&amp;A39)</f>
        <v>#REF!</v>
      </c>
      <c r="O39" s="65" t="e">
        <f ca="1">SUMIFS(OFFSET(#REF!,0,MATCH($O$1,#REF!,FALSE)-1,1000,1),#REF!,"="&amp;A39)</f>
        <v>#REF!</v>
      </c>
      <c r="P39" s="50" t="e">
        <f>VLOOKUP(VLOOKUP(A39,Reactions!A3:W676,22,FALSE),$T$5:$U$10,2,FALSE)</f>
        <v>#N/A</v>
      </c>
      <c r="T39"/>
    </row>
    <row r="40" spans="1:20" ht="24" customHeight="1" x14ac:dyDescent="0.25">
      <c r="A40" s="50" t="s">
        <v>1365</v>
      </c>
      <c r="B40" s="38">
        <f t="shared" si="1"/>
        <v>28</v>
      </c>
      <c r="C40" s="38"/>
      <c r="D40" s="50" t="str">
        <f t="shared" si="0"/>
        <v>(D28)</v>
      </c>
      <c r="E40" s="50" t="s">
        <v>1</v>
      </c>
      <c r="F40" s="51" t="s">
        <v>0</v>
      </c>
      <c r="G40" s="50" t="s">
        <v>1515</v>
      </c>
      <c r="H40" s="47" t="s">
        <v>7</v>
      </c>
      <c r="I40" s="50" t="s">
        <v>1517</v>
      </c>
      <c r="J40" s="51" t="s">
        <v>0</v>
      </c>
      <c r="K40" s="50" t="s">
        <v>639</v>
      </c>
      <c r="L40" s="51"/>
      <c r="M40" s="90"/>
      <c r="N40" s="63" t="e">
        <f ca="1">SUMIFS(OFFSET(#REF!,0,MATCH($N$1,#REF!,FALSE)-1,1000,1),#REF!,"="&amp;A40)</f>
        <v>#REF!</v>
      </c>
      <c r="O40" s="65" t="e">
        <f ca="1">SUMIFS(OFFSET(#REF!,0,MATCH($O$1,#REF!,FALSE)-1,1000,1),#REF!,"="&amp;A40)</f>
        <v>#REF!</v>
      </c>
      <c r="P40" s="50" t="e">
        <f>VLOOKUP(VLOOKUP(A40,Reactions!A3:W677,22,FALSE),$T$5:$U$10,2,FALSE)</f>
        <v>#N/A</v>
      </c>
      <c r="T40"/>
    </row>
    <row r="41" spans="1:20" ht="24" customHeight="1" x14ac:dyDescent="0.25">
      <c r="A41" s="50" t="s">
        <v>1366</v>
      </c>
      <c r="B41" s="38">
        <f t="shared" si="1"/>
        <v>29</v>
      </c>
      <c r="C41" s="38"/>
      <c r="D41" s="95" t="str">
        <f t="shared" si="0"/>
        <v>(D29)</v>
      </c>
      <c r="E41" s="95" t="s">
        <v>1</v>
      </c>
      <c r="F41" s="96" t="s">
        <v>0</v>
      </c>
      <c r="G41" s="95" t="s">
        <v>1515</v>
      </c>
      <c r="H41" s="83" t="s">
        <v>7</v>
      </c>
      <c r="I41" s="106" t="s">
        <v>1520</v>
      </c>
      <c r="J41" s="96" t="s">
        <v>0</v>
      </c>
      <c r="K41" s="95" t="s">
        <v>1053</v>
      </c>
      <c r="L41" s="96"/>
      <c r="M41" s="98"/>
      <c r="N41" s="99" t="e">
        <f ca="1">SUMIFS(OFFSET(#REF!,0,MATCH($N$1,#REF!,FALSE)-1,1000,1),#REF!,"="&amp;A41)</f>
        <v>#REF!</v>
      </c>
      <c r="O41" s="100" t="e">
        <f ca="1">SUMIFS(OFFSET(#REF!,0,MATCH($O$1,#REF!,FALSE)-1,1000,1),#REF!,"="&amp;A41)</f>
        <v>#REF!</v>
      </c>
      <c r="P41" s="95" t="e">
        <f>VLOOKUP(VLOOKUP(A41,Reactions!A3:W678,22,FALSE),$T$5:$U$10,2,FALSE)</f>
        <v>#N/A</v>
      </c>
      <c r="T41"/>
    </row>
    <row r="42" spans="1:20" ht="24" customHeight="1" x14ac:dyDescent="0.25">
      <c r="A42" s="50"/>
      <c r="B42" s="38"/>
      <c r="C42" s="38"/>
      <c r="D42" s="38"/>
      <c r="G42" s="38"/>
      <c r="H42" s="39"/>
      <c r="I42" s="105"/>
      <c r="P42" s="38"/>
      <c r="T42"/>
    </row>
    <row r="43" spans="1:20" ht="24" customHeight="1" x14ac:dyDescent="0.25">
      <c r="A43" s="50"/>
      <c r="B43" s="38"/>
      <c r="C43" s="38"/>
      <c r="D43" s="81" t="s">
        <v>2</v>
      </c>
      <c r="E43" s="73"/>
      <c r="F43" s="82"/>
      <c r="G43" s="82"/>
      <c r="H43" s="82"/>
      <c r="I43" s="84"/>
      <c r="J43" s="82"/>
      <c r="K43" s="73"/>
      <c r="L43" s="83"/>
      <c r="M43" s="87"/>
      <c r="N43" s="43" t="s">
        <v>1539</v>
      </c>
      <c r="O43" s="86"/>
      <c r="P43" s="85" t="s">
        <v>12</v>
      </c>
      <c r="T43"/>
    </row>
    <row r="44" spans="1:20" ht="24" customHeight="1" x14ac:dyDescent="0.25">
      <c r="A44" s="50"/>
      <c r="B44" s="38"/>
      <c r="C44" s="38"/>
      <c r="D44" s="74" t="s">
        <v>1351</v>
      </c>
      <c r="E44" s="75"/>
      <c r="F44" s="76"/>
      <c r="G44" s="77"/>
      <c r="H44" s="77"/>
      <c r="I44" s="74"/>
      <c r="J44" s="76"/>
      <c r="K44" s="74"/>
      <c r="L44" s="76"/>
      <c r="M44" s="88"/>
      <c r="N44" s="78" t="s">
        <v>1540</v>
      </c>
      <c r="O44" s="79" t="s">
        <v>1541</v>
      </c>
      <c r="P44" s="80" t="s">
        <v>1381</v>
      </c>
      <c r="T44"/>
    </row>
    <row r="45" spans="1:20" ht="24" customHeight="1" x14ac:dyDescent="0.25">
      <c r="A45" s="50" t="s">
        <v>1367</v>
      </c>
      <c r="B45" s="38">
        <f>B41+1</f>
        <v>30</v>
      </c>
      <c r="C45" s="38"/>
      <c r="D45" s="50" t="str">
        <f t="shared" si="0"/>
        <v>(D30)</v>
      </c>
      <c r="E45" s="50" t="s">
        <v>1</v>
      </c>
      <c r="F45" s="51" t="s">
        <v>0</v>
      </c>
      <c r="G45" s="50" t="s">
        <v>1521</v>
      </c>
      <c r="H45" s="47" t="s">
        <v>7</v>
      </c>
      <c r="I45" s="50" t="s">
        <v>1519</v>
      </c>
      <c r="J45" s="51" t="s">
        <v>0</v>
      </c>
      <c r="K45" s="50" t="s">
        <v>639</v>
      </c>
      <c r="L45" s="51"/>
      <c r="M45" s="90"/>
      <c r="N45" s="63" t="e">
        <f ca="1">SUMIFS(OFFSET(#REF!,0,MATCH($N$1,#REF!,FALSE)-1,1000,1),#REF!,"="&amp;A45)</f>
        <v>#REF!</v>
      </c>
      <c r="O45" s="65" t="e">
        <f ca="1">SUMIFS(OFFSET(#REF!,0,MATCH($O$1,#REF!,FALSE)-1,1000,1),#REF!,"="&amp;A45)</f>
        <v>#REF!</v>
      </c>
      <c r="P45" s="50" t="e">
        <f>VLOOKUP(VLOOKUP(A45,Reactions!A3:W679,22,FALSE),$T$5:$U$10,2,FALSE)</f>
        <v>#N/A</v>
      </c>
      <c r="T45"/>
    </row>
    <row r="46" spans="1:20" ht="24" customHeight="1" x14ac:dyDescent="0.25">
      <c r="A46" s="50" t="s">
        <v>1368</v>
      </c>
      <c r="B46" s="38">
        <f t="shared" si="1"/>
        <v>31</v>
      </c>
      <c r="C46" s="38"/>
      <c r="D46" s="50" t="str">
        <f t="shared" si="0"/>
        <v>(D31)</v>
      </c>
      <c r="E46" s="50" t="s">
        <v>1</v>
      </c>
      <c r="F46" s="51" t="s">
        <v>0</v>
      </c>
      <c r="G46" s="50" t="s">
        <v>1521</v>
      </c>
      <c r="H46" s="47" t="s">
        <v>7</v>
      </c>
      <c r="I46" s="50" t="s">
        <v>1516</v>
      </c>
      <c r="J46" s="51" t="s">
        <v>0</v>
      </c>
      <c r="K46" s="50" t="s">
        <v>1</v>
      </c>
      <c r="L46" s="51"/>
      <c r="M46" s="90"/>
      <c r="N46" s="63" t="e">
        <f ca="1">SUMIFS(OFFSET(#REF!,0,MATCH($N$1,#REF!,FALSE)-1,1000,1),#REF!,"="&amp;A46)</f>
        <v>#REF!</v>
      </c>
      <c r="O46" s="65" t="e">
        <f ca="1">SUMIFS(OFFSET(#REF!,0,MATCH($O$1,#REF!,FALSE)-1,1000,1),#REF!,"="&amp;A46)</f>
        <v>#REF!</v>
      </c>
      <c r="P46" s="50" t="e">
        <f>VLOOKUP(VLOOKUP(A46,Reactions!A3:W680,22,FALSE),$T$5:$U$10,2,FALSE)</f>
        <v>#N/A</v>
      </c>
      <c r="T46"/>
    </row>
    <row r="47" spans="1:20" ht="24" customHeight="1" x14ac:dyDescent="0.25">
      <c r="A47" s="50" t="s">
        <v>1369</v>
      </c>
      <c r="B47" s="38">
        <f t="shared" si="1"/>
        <v>32</v>
      </c>
      <c r="C47" s="38"/>
      <c r="D47" s="50" t="str">
        <f t="shared" si="0"/>
        <v>(D32)</v>
      </c>
      <c r="E47" s="50" t="s">
        <v>1</v>
      </c>
      <c r="F47" s="51" t="s">
        <v>0</v>
      </c>
      <c r="G47" s="50" t="s">
        <v>1521</v>
      </c>
      <c r="H47" s="47" t="s">
        <v>7</v>
      </c>
      <c r="I47" s="50" t="s">
        <v>1411</v>
      </c>
      <c r="J47" s="51"/>
      <c r="K47" s="50"/>
      <c r="L47" s="51"/>
      <c r="M47" s="90"/>
      <c r="N47" s="63" t="e">
        <f ca="1">SUMIFS(OFFSET(#REF!,0,MATCH($N$1,#REF!,FALSE)-1,1000,1),#REF!,"="&amp;A47)</f>
        <v>#REF!</v>
      </c>
      <c r="O47" s="65" t="e">
        <f ca="1">SUMIFS(OFFSET(#REF!,0,MATCH($O$1,#REF!,FALSE)-1,1000,1),#REF!,"="&amp;A47)</f>
        <v>#REF!</v>
      </c>
      <c r="P47" s="50" t="e">
        <f>VLOOKUP(VLOOKUP(A47,Reactions!A3:W681,22,FALSE),$T$5:$U$10,2,FALSE)</f>
        <v>#N/A</v>
      </c>
      <c r="T47"/>
    </row>
    <row r="48" spans="1:20" ht="24" customHeight="1" x14ac:dyDescent="0.25">
      <c r="A48" s="50" t="s">
        <v>1370</v>
      </c>
      <c r="B48" s="38">
        <f t="shared" si="1"/>
        <v>33</v>
      </c>
      <c r="C48" s="38"/>
      <c r="D48" s="50" t="str">
        <f t="shared" si="0"/>
        <v>(D33)</v>
      </c>
      <c r="E48" s="50" t="s">
        <v>1</v>
      </c>
      <c r="F48" s="51" t="s">
        <v>0</v>
      </c>
      <c r="G48" s="50" t="s">
        <v>1521</v>
      </c>
      <c r="H48" s="47" t="s">
        <v>7</v>
      </c>
      <c r="I48" s="50" t="s">
        <v>1517</v>
      </c>
      <c r="J48" s="51" t="s">
        <v>0</v>
      </c>
      <c r="K48" s="50" t="s">
        <v>639</v>
      </c>
      <c r="L48" s="51"/>
      <c r="M48" s="90"/>
      <c r="N48" s="63" t="e">
        <f ca="1">SUMIFS(OFFSET(#REF!,0,MATCH($N$1,#REF!,FALSE)-1,1000,1),#REF!,"="&amp;A48)</f>
        <v>#REF!</v>
      </c>
      <c r="O48" s="65" t="e">
        <f ca="1">SUMIFS(OFFSET(#REF!,0,MATCH($O$1,#REF!,FALSE)-1,1000,1),#REF!,"="&amp;A48)</f>
        <v>#REF!</v>
      </c>
      <c r="P48" s="50" t="e">
        <f>VLOOKUP(VLOOKUP(A48,Reactions!A3:W682,22,FALSE),$T$5:$U$10,2,FALSE)</f>
        <v>#N/A</v>
      </c>
      <c r="T48"/>
    </row>
    <row r="49" spans="1:20" ht="24" customHeight="1" x14ac:dyDescent="0.25">
      <c r="A49" s="50" t="s">
        <v>1371</v>
      </c>
      <c r="B49" s="38">
        <f t="shared" si="1"/>
        <v>34</v>
      </c>
      <c r="C49" s="38"/>
      <c r="D49" s="50" t="str">
        <f t="shared" si="0"/>
        <v>(D34)</v>
      </c>
      <c r="E49" s="50" t="s">
        <v>1</v>
      </c>
      <c r="F49" s="51" t="s">
        <v>0</v>
      </c>
      <c r="G49" s="50" t="s">
        <v>1521</v>
      </c>
      <c r="H49" s="47" t="s">
        <v>7</v>
      </c>
      <c r="I49" s="58" t="s">
        <v>1520</v>
      </c>
      <c r="J49" s="51" t="s">
        <v>0</v>
      </c>
      <c r="K49" s="50" t="s">
        <v>1053</v>
      </c>
      <c r="L49" s="51"/>
      <c r="M49" s="90"/>
      <c r="N49" s="63" t="e">
        <f ca="1">SUMIFS(OFFSET(#REF!,0,MATCH($N$1,#REF!,FALSE)-1,1000,1),#REF!,"="&amp;A49)</f>
        <v>#REF!</v>
      </c>
      <c r="O49" s="65" t="e">
        <f ca="1">SUMIFS(OFFSET(#REF!,0,MATCH($O$1,#REF!,FALSE)-1,1000,1),#REF!,"="&amp;A49)</f>
        <v>#REF!</v>
      </c>
      <c r="P49" s="50" t="e">
        <f>VLOOKUP(VLOOKUP(A49,Reactions!A3:W683,22,FALSE),$T$5:$U$10,2,FALSE)</f>
        <v>#N/A</v>
      </c>
      <c r="T49"/>
    </row>
    <row r="50" spans="1:20" ht="24" customHeight="1" x14ac:dyDescent="0.25">
      <c r="A50" s="50" t="s">
        <v>21</v>
      </c>
      <c r="B50" s="38">
        <f t="shared" si="1"/>
        <v>35</v>
      </c>
      <c r="C50" s="38"/>
      <c r="D50" s="50" t="str">
        <f t="shared" si="0"/>
        <v>(D35)</v>
      </c>
      <c r="E50" s="50" t="s">
        <v>1</v>
      </c>
      <c r="F50" s="51" t="s">
        <v>0</v>
      </c>
      <c r="G50" s="52" t="s">
        <v>1511</v>
      </c>
      <c r="H50" s="47" t="s">
        <v>7</v>
      </c>
      <c r="I50" s="58" t="s">
        <v>1520</v>
      </c>
      <c r="J50" s="51" t="s">
        <v>0</v>
      </c>
      <c r="K50" s="50" t="s">
        <v>1053</v>
      </c>
      <c r="L50" s="51"/>
      <c r="M50" s="90"/>
      <c r="N50" s="63" t="e">
        <f ca="1">SUMIFS(OFFSET(#REF!,0,MATCH($N$1,#REF!,FALSE)-1,1000,1),#REF!,"="&amp;A50)</f>
        <v>#REF!</v>
      </c>
      <c r="O50" s="65" t="e">
        <f ca="1">SUMIFS(OFFSET(#REF!,0,MATCH($O$1,#REF!,FALSE)-1,1000,1),#REF!,"="&amp;A50)</f>
        <v>#REF!</v>
      </c>
      <c r="P50" s="50" t="e">
        <f>VLOOKUP(VLOOKUP(A50,Reactions!A3:W684,22,FALSE),$T$5:$U$10,2,FALSE)</f>
        <v>#N/A</v>
      </c>
      <c r="T50"/>
    </row>
    <row r="51" spans="1:20" ht="24" customHeight="1" x14ac:dyDescent="0.25">
      <c r="A51" s="50" t="s">
        <v>23</v>
      </c>
      <c r="B51" s="38">
        <f t="shared" si="1"/>
        <v>36</v>
      </c>
      <c r="C51" s="38"/>
      <c r="D51" s="50" t="str">
        <f t="shared" si="0"/>
        <v>(D36)</v>
      </c>
      <c r="E51" s="50" t="s">
        <v>1</v>
      </c>
      <c r="F51" s="51" t="s">
        <v>0</v>
      </c>
      <c r="G51" s="52" t="s">
        <v>639</v>
      </c>
      <c r="H51" s="47" t="s">
        <v>7</v>
      </c>
      <c r="I51" s="50" t="s">
        <v>1517</v>
      </c>
      <c r="J51" s="51" t="s">
        <v>0</v>
      </c>
      <c r="K51" s="50" t="s">
        <v>1</v>
      </c>
      <c r="L51" s="51"/>
      <c r="M51" s="90"/>
      <c r="N51" s="63" t="e">
        <f ca="1">SUMIFS(OFFSET(#REF!,0,MATCH($N$1,#REF!,FALSE)-1,1000,1),#REF!,"="&amp;A51)</f>
        <v>#REF!</v>
      </c>
      <c r="O51" s="65" t="e">
        <f ca="1">SUMIFS(OFFSET(#REF!,0,MATCH($O$1,#REF!,FALSE)-1,1000,1),#REF!,"="&amp;A51)</f>
        <v>#REF!</v>
      </c>
      <c r="P51" s="50" t="e">
        <f>VLOOKUP(VLOOKUP(A51,Reactions!A3:W685,22,FALSE),$T$5:$U$10,2,FALSE)</f>
        <v>#N/A</v>
      </c>
      <c r="T51"/>
    </row>
    <row r="52" spans="1:20" ht="24" customHeight="1" x14ac:dyDescent="0.25">
      <c r="A52" s="50" t="s">
        <v>24</v>
      </c>
      <c r="B52" s="38">
        <f t="shared" si="1"/>
        <v>37</v>
      </c>
      <c r="C52" s="38"/>
      <c r="D52" s="95" t="str">
        <f t="shared" si="0"/>
        <v>(D37)</v>
      </c>
      <c r="E52" s="95" t="s">
        <v>1</v>
      </c>
      <c r="F52" s="96" t="s">
        <v>0</v>
      </c>
      <c r="G52" s="97" t="s">
        <v>639</v>
      </c>
      <c r="H52" s="83" t="s">
        <v>7</v>
      </c>
      <c r="I52" s="95" t="s">
        <v>1514</v>
      </c>
      <c r="J52" s="96" t="s">
        <v>0</v>
      </c>
      <c r="K52" s="95" t="s">
        <v>1053</v>
      </c>
      <c r="L52" s="96"/>
      <c r="M52" s="98"/>
      <c r="N52" s="99" t="e">
        <f ca="1">SUMIFS(OFFSET(#REF!,0,MATCH($N$1,#REF!,FALSE)-1,1000,1),#REF!,"="&amp;A52)</f>
        <v>#REF!</v>
      </c>
      <c r="O52" s="100" t="e">
        <f ca="1">SUMIFS(OFFSET(#REF!,0,MATCH($O$1,#REF!,FALSE)-1,1000,1),#REF!,"="&amp;A52)</f>
        <v>#REF!</v>
      </c>
      <c r="P52" s="95" t="e">
        <f>VLOOKUP(VLOOKUP(A52,Reactions!A3:W686,22,FALSE),$T$5:$U$10,2,FALSE)</f>
        <v>#N/A</v>
      </c>
      <c r="T52"/>
    </row>
    <row r="53" spans="1:20" ht="24" customHeight="1" x14ac:dyDescent="0.25">
      <c r="A53" s="50"/>
      <c r="B53" s="38"/>
      <c r="C53" s="38"/>
      <c r="D53" s="38"/>
      <c r="H53" s="39"/>
      <c r="P53" s="38"/>
      <c r="T53"/>
    </row>
    <row r="54" spans="1:20" ht="24" customHeight="1" x14ac:dyDescent="0.25">
      <c r="A54" s="50"/>
      <c r="B54" s="38"/>
      <c r="C54" s="38"/>
      <c r="D54" s="81" t="s">
        <v>2</v>
      </c>
      <c r="E54" s="73"/>
      <c r="F54" s="82"/>
      <c r="G54" s="82"/>
      <c r="H54" s="82"/>
      <c r="I54" s="84"/>
      <c r="J54" s="82"/>
      <c r="K54" s="73"/>
      <c r="L54" s="83"/>
      <c r="M54" s="87"/>
      <c r="N54" s="43" t="s">
        <v>1539</v>
      </c>
      <c r="O54" s="86"/>
      <c r="P54" s="85" t="s">
        <v>12</v>
      </c>
      <c r="T54"/>
    </row>
    <row r="55" spans="1:20" ht="24" customHeight="1" x14ac:dyDescent="0.25">
      <c r="A55" s="50"/>
      <c r="B55" s="38"/>
      <c r="C55" s="38"/>
      <c r="D55" s="74" t="s">
        <v>1351</v>
      </c>
      <c r="E55" s="75"/>
      <c r="F55" s="76"/>
      <c r="G55" s="77"/>
      <c r="H55" s="77"/>
      <c r="I55" s="74"/>
      <c r="J55" s="76"/>
      <c r="K55" s="74"/>
      <c r="L55" s="76"/>
      <c r="M55" s="88"/>
      <c r="N55" s="78" t="s">
        <v>1540</v>
      </c>
      <c r="O55" s="79" t="s">
        <v>1541</v>
      </c>
      <c r="P55" s="80" t="s">
        <v>1381</v>
      </c>
      <c r="T55"/>
    </row>
    <row r="56" spans="1:20" ht="24" customHeight="1" x14ac:dyDescent="0.25">
      <c r="A56" s="50" t="s">
        <v>25</v>
      </c>
      <c r="B56" s="38">
        <f>B52+1</f>
        <v>38</v>
      </c>
      <c r="C56" s="38"/>
      <c r="D56" s="50" t="str">
        <f t="shared" si="0"/>
        <v>(D38)</v>
      </c>
      <c r="E56" s="50" t="s">
        <v>1</v>
      </c>
      <c r="F56" s="51" t="s">
        <v>0</v>
      </c>
      <c r="G56" s="52" t="s">
        <v>1522</v>
      </c>
      <c r="H56" s="47" t="s">
        <v>7</v>
      </c>
      <c r="I56" s="50" t="s">
        <v>1523</v>
      </c>
      <c r="J56" s="51" t="s">
        <v>0</v>
      </c>
      <c r="K56" s="50" t="s">
        <v>1053</v>
      </c>
      <c r="L56" s="51"/>
      <c r="M56" s="90"/>
      <c r="N56" s="63" t="e">
        <f ca="1">SUMIFS(OFFSET(#REF!,0,MATCH($N$1,#REF!,FALSE)-1,1000,1),#REF!,"="&amp;A56)</f>
        <v>#REF!</v>
      </c>
      <c r="O56" s="65" t="e">
        <f ca="1">SUMIFS(OFFSET(#REF!,0,MATCH($O$1,#REF!,FALSE)-1,1000,1),#REF!,"="&amp;A56)</f>
        <v>#REF!</v>
      </c>
      <c r="P56" s="50" t="e">
        <f>VLOOKUP(VLOOKUP(A56,Reactions!A3:W687,22,FALSE),$T$5:$U$10,2,FALSE)</f>
        <v>#N/A</v>
      </c>
      <c r="T56"/>
    </row>
    <row r="57" spans="1:20" ht="24" customHeight="1" x14ac:dyDescent="0.25">
      <c r="A57" s="50" t="s">
        <v>26</v>
      </c>
      <c r="B57" s="38">
        <f t="shared" si="1"/>
        <v>39</v>
      </c>
      <c r="C57" s="38"/>
      <c r="D57" s="50" t="str">
        <f t="shared" si="0"/>
        <v>(D39)</v>
      </c>
      <c r="E57" s="50" t="s">
        <v>1</v>
      </c>
      <c r="F57" s="51" t="s">
        <v>0</v>
      </c>
      <c r="G57" s="52" t="s">
        <v>1522</v>
      </c>
      <c r="H57" s="47" t="s">
        <v>7</v>
      </c>
      <c r="I57" s="50" t="s">
        <v>1524</v>
      </c>
      <c r="J57" s="47" t="s">
        <v>0</v>
      </c>
      <c r="K57" s="50" t="s">
        <v>653</v>
      </c>
      <c r="L57" s="51" t="s">
        <v>0</v>
      </c>
      <c r="M57" s="90" t="s">
        <v>1053</v>
      </c>
      <c r="N57" s="63" t="e">
        <f ca="1">SUMIFS(OFFSET(#REF!,0,MATCH($N$1,#REF!,FALSE)-1,1000,1),#REF!,"="&amp;A57)</f>
        <v>#REF!</v>
      </c>
      <c r="O57" s="65" t="e">
        <f ca="1">SUMIFS(OFFSET(#REF!,0,MATCH($O$1,#REF!,FALSE)-1,1000,1),#REF!,"="&amp;A57)</f>
        <v>#REF!</v>
      </c>
      <c r="P57" s="50" t="e">
        <f>VLOOKUP(VLOOKUP(A57,Reactions!A3:W688,22,FALSE),$T$5:$U$10,2,FALSE)</f>
        <v>#N/A</v>
      </c>
      <c r="T57"/>
    </row>
    <row r="58" spans="1:20" ht="24" customHeight="1" x14ac:dyDescent="0.25">
      <c r="A58" s="50" t="s">
        <v>27</v>
      </c>
      <c r="B58" s="38">
        <f t="shared" si="1"/>
        <v>40</v>
      </c>
      <c r="C58" s="38"/>
      <c r="D58" s="50" t="str">
        <f t="shared" si="0"/>
        <v>(D40)</v>
      </c>
      <c r="E58" s="50" t="s">
        <v>1</v>
      </c>
      <c r="F58" s="51" t="s">
        <v>0</v>
      </c>
      <c r="G58" s="52" t="s">
        <v>1522</v>
      </c>
      <c r="H58" s="47" t="s">
        <v>7</v>
      </c>
      <c r="I58" s="50" t="s">
        <v>1525</v>
      </c>
      <c r="J58" s="47" t="s">
        <v>0</v>
      </c>
      <c r="K58" s="50" t="s">
        <v>654</v>
      </c>
      <c r="L58" s="51" t="s">
        <v>0</v>
      </c>
      <c r="M58" s="90" t="s">
        <v>1053</v>
      </c>
      <c r="N58" s="63" t="e">
        <f ca="1">SUMIFS(OFFSET(#REF!,0,MATCH($N$1,#REF!,FALSE)-1,1000,1),#REF!,"="&amp;A58)</f>
        <v>#REF!</v>
      </c>
      <c r="O58" s="65" t="e">
        <f ca="1">SUMIFS(OFFSET(#REF!,0,MATCH($O$1,#REF!,FALSE)-1,1000,1),#REF!,"="&amp;A58)</f>
        <v>#REF!</v>
      </c>
      <c r="P58" s="50" t="e">
        <f>VLOOKUP(VLOOKUP(A58,Reactions!A3:W689,22,FALSE),$T$5:$U$10,2,FALSE)</f>
        <v>#N/A</v>
      </c>
      <c r="T58"/>
    </row>
    <row r="59" spans="1:20" ht="24" customHeight="1" x14ac:dyDescent="0.25">
      <c r="A59" s="50" t="s">
        <v>28</v>
      </c>
      <c r="B59" s="38">
        <f t="shared" si="1"/>
        <v>41</v>
      </c>
      <c r="C59" s="38"/>
      <c r="D59" s="50" t="str">
        <f t="shared" si="0"/>
        <v>(D41)</v>
      </c>
      <c r="E59" s="50" t="s">
        <v>1</v>
      </c>
      <c r="F59" s="51" t="s">
        <v>0</v>
      </c>
      <c r="G59" s="52" t="s">
        <v>1522</v>
      </c>
      <c r="H59" s="47" t="s">
        <v>7</v>
      </c>
      <c r="I59" s="50" t="s">
        <v>1514</v>
      </c>
      <c r="J59" s="47" t="s">
        <v>0</v>
      </c>
      <c r="K59" s="50" t="s">
        <v>1526</v>
      </c>
      <c r="L59" s="51" t="s">
        <v>0</v>
      </c>
      <c r="M59" s="90" t="s">
        <v>1053</v>
      </c>
      <c r="N59" s="63" t="e">
        <f ca="1">SUMIFS(OFFSET(#REF!,0,MATCH($N$1,#REF!,FALSE)-1,1000,1),#REF!,"="&amp;A59)</f>
        <v>#REF!</v>
      </c>
      <c r="O59" s="65" t="e">
        <f ca="1">SUMIFS(OFFSET(#REF!,0,MATCH($O$1,#REF!,FALSE)-1,1000,1),#REF!,"="&amp;A59)</f>
        <v>#REF!</v>
      </c>
      <c r="P59" s="50" t="e">
        <f>VLOOKUP(VLOOKUP(A59,Reactions!A3:W690,22,FALSE),$T$5:$U$10,2,FALSE)</f>
        <v>#N/A</v>
      </c>
      <c r="T59"/>
    </row>
    <row r="60" spans="1:20" ht="24" customHeight="1" x14ac:dyDescent="0.25">
      <c r="A60" s="50" t="s">
        <v>29</v>
      </c>
      <c r="B60" s="38">
        <f t="shared" si="1"/>
        <v>42</v>
      </c>
      <c r="C60" s="38"/>
      <c r="D60" s="50" t="str">
        <f t="shared" si="0"/>
        <v>(D42)</v>
      </c>
      <c r="E60" s="50" t="s">
        <v>1</v>
      </c>
      <c r="F60" s="51" t="s">
        <v>0</v>
      </c>
      <c r="G60" s="52" t="s">
        <v>1522</v>
      </c>
      <c r="H60" s="47" t="s">
        <v>7</v>
      </c>
      <c r="I60" s="52" t="s">
        <v>1527</v>
      </c>
      <c r="J60" s="47" t="s">
        <v>0</v>
      </c>
      <c r="K60" s="50" t="s">
        <v>639</v>
      </c>
      <c r="L60" s="51" t="s">
        <v>0</v>
      </c>
      <c r="M60" s="90" t="s">
        <v>1053</v>
      </c>
      <c r="N60" s="63" t="e">
        <f ca="1">SUMIFS(OFFSET(#REF!,0,MATCH($N$1,#REF!,FALSE)-1,1000,1),#REF!,"="&amp;A60)</f>
        <v>#REF!</v>
      </c>
      <c r="O60" s="65" t="e">
        <f ca="1">SUMIFS(OFFSET(#REF!,0,MATCH($O$1,#REF!,FALSE)-1,1000,1),#REF!,"="&amp;A60)</f>
        <v>#REF!</v>
      </c>
      <c r="P60" s="50" t="e">
        <f>VLOOKUP(VLOOKUP(A60,Reactions!A3:W691,22,FALSE),$T$5:$U$10,2,FALSE)</f>
        <v>#N/A</v>
      </c>
      <c r="T60"/>
    </row>
    <row r="61" spans="1:20" ht="24" customHeight="1" x14ac:dyDescent="0.25">
      <c r="A61" s="50" t="s">
        <v>30</v>
      </c>
      <c r="B61" s="38">
        <f t="shared" si="1"/>
        <v>43</v>
      </c>
      <c r="C61" s="38"/>
      <c r="D61" s="50" t="str">
        <f t="shared" si="0"/>
        <v>(D43)</v>
      </c>
      <c r="E61" s="50" t="s">
        <v>1</v>
      </c>
      <c r="F61" s="51" t="s">
        <v>0</v>
      </c>
      <c r="G61" s="52" t="s">
        <v>1522</v>
      </c>
      <c r="H61" s="47" t="s">
        <v>7</v>
      </c>
      <c r="I61" s="50" t="s">
        <v>654</v>
      </c>
      <c r="J61" s="51" t="s">
        <v>0</v>
      </c>
      <c r="K61" s="50" t="s">
        <v>653</v>
      </c>
      <c r="L61" s="51" t="s">
        <v>0</v>
      </c>
      <c r="M61" s="90" t="s">
        <v>1</v>
      </c>
      <c r="N61" s="63" t="e">
        <f ca="1">SUMIFS(OFFSET(#REF!,0,MATCH($N$1,#REF!,FALSE)-1,1000,1),#REF!,"="&amp;A61)</f>
        <v>#REF!</v>
      </c>
      <c r="O61" s="65" t="e">
        <f ca="1">SUMIFS(OFFSET(#REF!,0,MATCH($O$1,#REF!,FALSE)-1,1000,1),#REF!,"="&amp;A61)</f>
        <v>#REF!</v>
      </c>
      <c r="P61" s="50" t="e">
        <f>VLOOKUP(VLOOKUP(A61,Reactions!A3:W692,22,FALSE),$T$5:$U$10,2,FALSE)</f>
        <v>#N/A</v>
      </c>
      <c r="T61"/>
    </row>
    <row r="62" spans="1:20" ht="24" customHeight="1" x14ac:dyDescent="0.25">
      <c r="A62" s="50" t="s">
        <v>31</v>
      </c>
      <c r="B62" s="38">
        <f t="shared" si="1"/>
        <v>44</v>
      </c>
      <c r="C62" s="38"/>
      <c r="D62" s="50" t="str">
        <f t="shared" si="0"/>
        <v>(D44)</v>
      </c>
      <c r="E62" s="50" t="s">
        <v>1</v>
      </c>
      <c r="F62" s="51" t="s">
        <v>0</v>
      </c>
      <c r="G62" s="52" t="s">
        <v>1522</v>
      </c>
      <c r="H62" s="47" t="s">
        <v>7</v>
      </c>
      <c r="I62" s="50" t="s">
        <v>1526</v>
      </c>
      <c r="J62" s="51" t="s">
        <v>0</v>
      </c>
      <c r="K62" s="50" t="s">
        <v>1517</v>
      </c>
      <c r="L62" s="51" t="s">
        <v>0</v>
      </c>
      <c r="M62" s="90" t="s">
        <v>1</v>
      </c>
      <c r="N62" s="63" t="e">
        <f ca="1">SUMIFS(OFFSET(#REF!,0,MATCH($N$1,#REF!,FALSE)-1,1000,1),#REF!,"="&amp;A62)</f>
        <v>#REF!</v>
      </c>
      <c r="O62" s="65" t="e">
        <f ca="1">SUMIFS(OFFSET(#REF!,0,MATCH($O$1,#REF!,FALSE)-1,1000,1),#REF!,"="&amp;A62)</f>
        <v>#REF!</v>
      </c>
      <c r="P62" s="50" t="e">
        <f>VLOOKUP(VLOOKUP(A62,Reactions!A3:W693,22,FALSE),$T$5:$U$10,2,FALSE)</f>
        <v>#N/A</v>
      </c>
      <c r="T62"/>
    </row>
    <row r="63" spans="1:20" ht="24" customHeight="1" x14ac:dyDescent="0.25">
      <c r="A63" s="50" t="s">
        <v>1461</v>
      </c>
      <c r="B63" s="38">
        <f t="shared" si="1"/>
        <v>45</v>
      </c>
      <c r="C63" s="38"/>
      <c r="D63" s="50" t="str">
        <f t="shared" si="0"/>
        <v>(D45)</v>
      </c>
      <c r="E63" s="50" t="s">
        <v>1</v>
      </c>
      <c r="F63" s="51" t="s">
        <v>0</v>
      </c>
      <c r="G63" s="52" t="s">
        <v>1522</v>
      </c>
      <c r="H63" s="47" t="s">
        <v>7</v>
      </c>
      <c r="I63" s="52" t="s">
        <v>1528</v>
      </c>
      <c r="J63" s="51" t="s">
        <v>0</v>
      </c>
      <c r="K63" s="52" t="s">
        <v>1</v>
      </c>
      <c r="L63" s="51"/>
      <c r="M63" s="90"/>
      <c r="N63" s="63" t="e">
        <f ca="1">SUMIFS(OFFSET(#REF!,0,MATCH($N$1,#REF!,FALSE)-1,1000,1),#REF!,"="&amp;A63)</f>
        <v>#REF!</v>
      </c>
      <c r="O63" s="65" t="e">
        <f ca="1">SUMIFS(OFFSET(#REF!,0,MATCH($O$1,#REF!,FALSE)-1,1000,1),#REF!,"="&amp;A63)</f>
        <v>#REF!</v>
      </c>
      <c r="P63" s="50" t="e">
        <f>VLOOKUP(VLOOKUP(A63,Reactions!A3:W694,22,FALSE),$T$5:$U$10,2,FALSE)</f>
        <v>#N/A</v>
      </c>
      <c r="T63"/>
    </row>
    <row r="64" spans="1:20" ht="24" customHeight="1" x14ac:dyDescent="0.25">
      <c r="A64" s="50" t="s">
        <v>1462</v>
      </c>
      <c r="B64" s="38">
        <f t="shared" si="1"/>
        <v>46</v>
      </c>
      <c r="C64" s="38"/>
      <c r="D64" s="50" t="str">
        <f t="shared" si="0"/>
        <v>(D46)</v>
      </c>
      <c r="E64" s="50" t="s">
        <v>1</v>
      </c>
      <c r="F64" s="51" t="s">
        <v>0</v>
      </c>
      <c r="G64" s="52" t="s">
        <v>1522</v>
      </c>
      <c r="H64" s="47" t="s">
        <v>7</v>
      </c>
      <c r="I64" s="52" t="s">
        <v>1529</v>
      </c>
      <c r="J64" s="51" t="s">
        <v>0</v>
      </c>
      <c r="K64" s="52" t="s">
        <v>1</v>
      </c>
      <c r="L64" s="51"/>
      <c r="M64" s="90" t="s">
        <v>1536</v>
      </c>
      <c r="N64" s="63" t="e">
        <f ca="1">SUMIFS(OFFSET(#REF!,0,MATCH($N$1,#REF!,FALSE)-1,1000,1),#REF!,"="&amp;A64)</f>
        <v>#REF!</v>
      </c>
      <c r="O64" s="65" t="e">
        <f ca="1">SUMIFS(OFFSET(#REF!,0,MATCH($O$1,#REF!,FALSE)-1,1000,1),#REF!,"="&amp;A64)</f>
        <v>#REF!</v>
      </c>
      <c r="P64" s="50" t="e">
        <f>VLOOKUP(VLOOKUP(A64,Reactions!A3:W695,22,FALSE),$T$5:$U$10,2,FALSE)</f>
        <v>#N/A</v>
      </c>
      <c r="T64"/>
    </row>
    <row r="65" spans="1:20" ht="24" customHeight="1" x14ac:dyDescent="0.25">
      <c r="A65" s="50" t="s">
        <v>81</v>
      </c>
      <c r="B65" s="38">
        <f>B74+1</f>
        <v>53</v>
      </c>
      <c r="C65" s="38"/>
      <c r="D65" s="50" t="str">
        <f t="shared" si="0"/>
        <v>(D53)</v>
      </c>
      <c r="E65" s="50" t="s">
        <v>1</v>
      </c>
      <c r="F65" s="51" t="s">
        <v>0</v>
      </c>
      <c r="G65" s="52" t="s">
        <v>1522</v>
      </c>
      <c r="H65" s="47" t="s">
        <v>7</v>
      </c>
      <c r="I65" s="58" t="s">
        <v>1533</v>
      </c>
      <c r="J65" s="51" t="s">
        <v>0</v>
      </c>
      <c r="K65" s="58" t="s">
        <v>654</v>
      </c>
      <c r="L65" s="58"/>
      <c r="M65" s="93"/>
      <c r="N65" s="63" t="e">
        <f ca="1">SUMIFS(OFFSET(#REF!,0,MATCH($N$1,#REF!,FALSE)-1,1000,1),#REF!,"="&amp;A65)</f>
        <v>#REF!</v>
      </c>
      <c r="O65" s="65" t="e">
        <f ca="1">SUMIFS(OFFSET(#REF!,0,MATCH($O$1,#REF!,FALSE)-1,1000,1),#REF!,"="&amp;A65)</f>
        <v>#REF!</v>
      </c>
      <c r="P65" s="59" t="e">
        <f>VLOOKUP(VLOOKUP(A65,Reactions!A6:W702,22,FALSE),$T$5:$U$10,2,FALSE)</f>
        <v>#N/A</v>
      </c>
      <c r="T65"/>
    </row>
    <row r="66" spans="1:20" ht="24" customHeight="1" x14ac:dyDescent="0.25">
      <c r="A66" s="50" t="s">
        <v>82</v>
      </c>
      <c r="B66" s="38">
        <f t="shared" si="1"/>
        <v>54</v>
      </c>
      <c r="C66" s="38"/>
      <c r="D66" s="50" t="str">
        <f t="shared" si="0"/>
        <v>(D54)</v>
      </c>
      <c r="E66" s="50" t="s">
        <v>1</v>
      </c>
      <c r="F66" s="51" t="s">
        <v>0</v>
      </c>
      <c r="G66" s="52" t="s">
        <v>1522</v>
      </c>
      <c r="H66" s="47" t="s">
        <v>7</v>
      </c>
      <c r="I66" s="58" t="s">
        <v>1519</v>
      </c>
      <c r="J66" s="51" t="s">
        <v>0</v>
      </c>
      <c r="K66" s="58" t="s">
        <v>1526</v>
      </c>
      <c r="L66" s="58"/>
      <c r="M66" s="93"/>
      <c r="N66" s="63" t="e">
        <f ca="1">SUMIFS(OFFSET(#REF!,0,MATCH($N$1,#REF!,FALSE)-1,1000,1),#REF!,"="&amp;A66)</f>
        <v>#REF!</v>
      </c>
      <c r="O66" s="65" t="e">
        <f ca="1">SUMIFS(OFFSET(#REF!,0,MATCH($O$1,#REF!,FALSE)-1,1000,1),#REF!,"="&amp;A66)</f>
        <v>#REF!</v>
      </c>
      <c r="P66" s="59" t="e">
        <f>VLOOKUP(VLOOKUP(A66,Reactions!A7:W703,22,FALSE),$T$5:$U$10,2,FALSE)</f>
        <v>#N/A</v>
      </c>
      <c r="T66"/>
    </row>
    <row r="67" spans="1:20" ht="24" customHeight="1" x14ac:dyDescent="0.25">
      <c r="A67" s="66" t="s">
        <v>83</v>
      </c>
      <c r="B67" s="38">
        <f t="shared" si="1"/>
        <v>55</v>
      </c>
      <c r="C67" s="38"/>
      <c r="D67" s="95" t="str">
        <f t="shared" si="0"/>
        <v>(D55)</v>
      </c>
      <c r="E67" s="95" t="s">
        <v>1</v>
      </c>
      <c r="F67" s="96" t="s">
        <v>0</v>
      </c>
      <c r="G67" s="97" t="s">
        <v>1522</v>
      </c>
      <c r="H67" s="96" t="s">
        <v>7</v>
      </c>
      <c r="I67" s="106" t="s">
        <v>1534</v>
      </c>
      <c r="J67" s="96" t="s">
        <v>0</v>
      </c>
      <c r="K67" s="106" t="s">
        <v>653</v>
      </c>
      <c r="L67" s="106"/>
      <c r="M67" s="107"/>
      <c r="N67" s="99" t="e">
        <f ca="1">SUMIFS(OFFSET(#REF!,0,MATCH($N$1,#REF!,FALSE)-1,1000,1),#REF!,"="&amp;A67)</f>
        <v>#REF!</v>
      </c>
      <c r="O67" s="100" t="e">
        <f ca="1">SUMIFS(OFFSET(#REF!,0,MATCH($O$1,#REF!,FALSE)-1,1000,1),#REF!,"="&amp;A67)</f>
        <v>#REF!</v>
      </c>
      <c r="P67" s="108" t="e">
        <f>VLOOKUP(VLOOKUP(A67,Reactions!A7:W704,22,FALSE),$T$5:$U$10,2,FALSE)</f>
        <v>#N/A</v>
      </c>
      <c r="T67"/>
    </row>
    <row r="68" spans="1:20" ht="24" customHeight="1" x14ac:dyDescent="0.25">
      <c r="A68" s="66"/>
      <c r="B68" s="38"/>
      <c r="C68" s="38"/>
      <c r="D68" s="38"/>
      <c r="H68" s="39"/>
      <c r="I68" s="105"/>
      <c r="K68" s="105"/>
      <c r="L68" s="105"/>
      <c r="M68" s="105"/>
      <c r="T68"/>
    </row>
    <row r="69" spans="1:20" ht="24" customHeight="1" x14ac:dyDescent="0.25">
      <c r="A69" s="66"/>
      <c r="B69" s="38"/>
      <c r="C69" s="38"/>
      <c r="D69" s="81" t="s">
        <v>2</v>
      </c>
      <c r="E69" s="73"/>
      <c r="F69" s="82"/>
      <c r="G69" s="82"/>
      <c r="H69" s="82"/>
      <c r="I69" s="84"/>
      <c r="J69" s="82"/>
      <c r="K69" s="73"/>
      <c r="L69" s="83"/>
      <c r="M69" s="87"/>
      <c r="N69" s="43" t="s">
        <v>1539</v>
      </c>
      <c r="O69" s="86"/>
      <c r="P69" s="85" t="s">
        <v>12</v>
      </c>
      <c r="T69"/>
    </row>
    <row r="70" spans="1:20" ht="24" customHeight="1" x14ac:dyDescent="0.25">
      <c r="A70" s="66"/>
      <c r="B70" s="38"/>
      <c r="C70" s="38"/>
      <c r="D70" s="74" t="s">
        <v>1351</v>
      </c>
      <c r="E70" s="75"/>
      <c r="F70" s="76"/>
      <c r="G70" s="77"/>
      <c r="H70" s="77"/>
      <c r="I70" s="74"/>
      <c r="J70" s="76"/>
      <c r="K70" s="74"/>
      <c r="L70" s="76"/>
      <c r="M70" s="88"/>
      <c r="N70" s="78" t="s">
        <v>1540</v>
      </c>
      <c r="O70" s="79" t="s">
        <v>1541</v>
      </c>
      <c r="P70" s="80" t="s">
        <v>1381</v>
      </c>
      <c r="T70"/>
    </row>
    <row r="71" spans="1:20" ht="24" customHeight="1" x14ac:dyDescent="0.25">
      <c r="A71" s="50" t="s">
        <v>32</v>
      </c>
      <c r="B71" s="38">
        <f>B64+1</f>
        <v>47</v>
      </c>
      <c r="C71" s="38"/>
      <c r="D71" s="50" t="str">
        <f>"(D"&amp;B71&amp;")"</f>
        <v>(D47)</v>
      </c>
      <c r="E71" s="50" t="s">
        <v>1</v>
      </c>
      <c r="F71" s="51" t="s">
        <v>0</v>
      </c>
      <c r="G71" s="52" t="s">
        <v>1526</v>
      </c>
      <c r="H71" s="47" t="s">
        <v>7</v>
      </c>
      <c r="I71" s="50" t="s">
        <v>1415</v>
      </c>
      <c r="J71" s="51" t="s">
        <v>0</v>
      </c>
      <c r="K71" s="50" t="s">
        <v>1</v>
      </c>
      <c r="L71" s="51"/>
      <c r="M71" s="90"/>
      <c r="N71" s="63" t="e">
        <f ca="1">SUMIFS(OFFSET(#REF!,0,MATCH($N$1,#REF!,FALSE)-1,1000,1),#REF!,"="&amp;A71)</f>
        <v>#REF!</v>
      </c>
      <c r="O71" s="65" t="e">
        <f ca="1">SUMIFS(OFFSET(#REF!,0,MATCH($O$1,#REF!,FALSE)-1,1000,1),#REF!,"="&amp;A71)</f>
        <v>#REF!</v>
      </c>
      <c r="P71" s="50" t="e">
        <f>VLOOKUP(VLOOKUP(A71,Reactions!A3:W696,22,FALSE),$T$5:$U$10,2,FALSE)</f>
        <v>#N/A</v>
      </c>
      <c r="T71"/>
    </row>
    <row r="72" spans="1:20" ht="24" customHeight="1" x14ac:dyDescent="0.25">
      <c r="A72" s="50" t="s">
        <v>33</v>
      </c>
      <c r="B72" s="38">
        <f>B71+1</f>
        <v>48</v>
      </c>
      <c r="C72" s="38"/>
      <c r="D72" s="50" t="str">
        <f>"(D"&amp;B72&amp;")"</f>
        <v>(D48)</v>
      </c>
      <c r="E72" s="50" t="s">
        <v>1</v>
      </c>
      <c r="F72" s="51" t="s">
        <v>0</v>
      </c>
      <c r="G72" s="52" t="s">
        <v>1526</v>
      </c>
      <c r="H72" s="47" t="s">
        <v>7</v>
      </c>
      <c r="I72" s="52" t="s">
        <v>1527</v>
      </c>
      <c r="J72" s="51" t="s">
        <v>0</v>
      </c>
      <c r="K72" s="50" t="s">
        <v>1053</v>
      </c>
      <c r="L72" s="51"/>
      <c r="M72" s="90"/>
      <c r="N72" s="63" t="e">
        <f ca="1">SUMIFS(OFFSET(#REF!,0,MATCH($N$1,#REF!,FALSE)-1,1000,1),#REF!,"="&amp;A72)</f>
        <v>#REF!</v>
      </c>
      <c r="O72" s="65" t="e">
        <f ca="1">SUMIFS(OFFSET(#REF!,0,MATCH($O$1,#REF!,FALSE)-1,1000,1),#REF!,"="&amp;A72)</f>
        <v>#REF!</v>
      </c>
      <c r="P72" s="50" t="e">
        <f>VLOOKUP(VLOOKUP(A72,Reactions!A3:W697,22,FALSE),$T$5:$U$10,2,FALSE)</f>
        <v>#N/A</v>
      </c>
      <c r="T72"/>
    </row>
    <row r="73" spans="1:20" ht="24" customHeight="1" x14ac:dyDescent="0.25">
      <c r="A73" s="50" t="s">
        <v>73</v>
      </c>
      <c r="B73" s="38">
        <f>B23+1</f>
        <v>51</v>
      </c>
      <c r="C73" s="38"/>
      <c r="D73" s="50" t="str">
        <f>"(D"&amp;B73&amp;")"</f>
        <v>(D51)</v>
      </c>
      <c r="E73" s="50" t="s">
        <v>1</v>
      </c>
      <c r="F73" s="51" t="s">
        <v>0</v>
      </c>
      <c r="G73" s="58" t="s">
        <v>1532</v>
      </c>
      <c r="H73" s="47" t="s">
        <v>7</v>
      </c>
      <c r="I73" s="58" t="s">
        <v>1519</v>
      </c>
      <c r="J73" s="51" t="s">
        <v>0</v>
      </c>
      <c r="K73" s="58" t="s">
        <v>1511</v>
      </c>
      <c r="L73" s="51"/>
      <c r="M73" s="90"/>
      <c r="N73" s="63" t="e">
        <f ca="1">SUMIFS(OFFSET(#REF!,0,MATCH($N$1,#REF!,FALSE)-1,1000,1),#REF!,"="&amp;A73)</f>
        <v>#REF!</v>
      </c>
      <c r="O73" s="65" t="e">
        <f ca="1">SUMIFS(OFFSET(#REF!,0,MATCH($O$1,#REF!,FALSE)-1,1000,1),#REF!,"="&amp;A73)</f>
        <v>#REF!</v>
      </c>
      <c r="P73" s="59" t="e">
        <f>VLOOKUP(VLOOKUP(A73,Reactions!A4:W700,22,FALSE),$T$5:$U$10,2,FALSE)</f>
        <v>#N/A</v>
      </c>
      <c r="T73"/>
    </row>
    <row r="74" spans="1:20" ht="24" customHeight="1" x14ac:dyDescent="0.25">
      <c r="A74" s="50" t="s">
        <v>74</v>
      </c>
      <c r="B74" s="38">
        <f>B73+1</f>
        <v>52</v>
      </c>
      <c r="C74" s="38"/>
      <c r="D74" s="95" t="str">
        <f>"(D"&amp;B74&amp;")"</f>
        <v>(D52)</v>
      </c>
      <c r="E74" s="95" t="s">
        <v>1</v>
      </c>
      <c r="F74" s="96" t="s">
        <v>0</v>
      </c>
      <c r="G74" s="106" t="s">
        <v>1532</v>
      </c>
      <c r="H74" s="83" t="s">
        <v>7</v>
      </c>
      <c r="I74" s="106" t="s">
        <v>1531</v>
      </c>
      <c r="J74" s="96" t="s">
        <v>0</v>
      </c>
      <c r="K74" s="106" t="s">
        <v>639</v>
      </c>
      <c r="L74" s="106"/>
      <c r="M74" s="107"/>
      <c r="N74" s="99" t="e">
        <f ca="1">SUMIFS(OFFSET(#REF!,0,MATCH($N$1,#REF!,FALSE)-1,1000,1),#REF!,"="&amp;A74)</f>
        <v>#REF!</v>
      </c>
      <c r="O74" s="100" t="e">
        <f ca="1">SUMIFS(OFFSET(#REF!,0,MATCH($O$1,#REF!,FALSE)-1,1000,1),#REF!,"="&amp;A74)</f>
        <v>#REF!</v>
      </c>
      <c r="P74" s="108" t="e">
        <f>VLOOKUP(VLOOKUP(A74,Reactions!A5:W701,22,FALSE),$T$5:$U$10,2,FALSE)</f>
        <v>#N/A</v>
      </c>
      <c r="T74"/>
    </row>
    <row r="75" spans="1:20" s="25" customFormat="1" x14ac:dyDescent="0.25">
      <c r="A75" s="37"/>
      <c r="B75" s="37"/>
      <c r="C75" s="37"/>
      <c r="D75" s="37"/>
      <c r="E75" s="38"/>
      <c r="F75" s="39"/>
      <c r="G75" s="37"/>
      <c r="H75" s="37"/>
      <c r="I75" s="38"/>
      <c r="J75" s="39"/>
      <c r="K75" s="38"/>
      <c r="L75" s="39"/>
      <c r="M75" s="37"/>
      <c r="N75" s="60"/>
      <c r="O75" s="60"/>
      <c r="P75" s="40"/>
      <c r="R75" s="13"/>
      <c r="S75" s="13"/>
      <c r="T75" s="13"/>
    </row>
    <row r="76" spans="1:20" s="25" customFormat="1" x14ac:dyDescent="0.25">
      <c r="A76" s="37"/>
      <c r="B76" s="37"/>
      <c r="C76" s="37"/>
      <c r="D76" s="37"/>
      <c r="E76" s="38"/>
      <c r="F76" s="39"/>
      <c r="G76" s="37"/>
      <c r="H76" s="37"/>
      <c r="I76" s="38"/>
      <c r="J76" s="39"/>
      <c r="K76" s="38"/>
      <c r="L76" s="39"/>
      <c r="M76" s="37"/>
      <c r="N76" s="60"/>
      <c r="O76" s="60"/>
      <c r="P76" s="40"/>
      <c r="R76" s="13"/>
      <c r="S76" s="13"/>
      <c r="T76" s="13"/>
    </row>
    <row r="77" spans="1:20" s="25" customFormat="1" x14ac:dyDescent="0.25">
      <c r="A77" s="37"/>
      <c r="B77" s="37"/>
      <c r="C77" s="37"/>
      <c r="D77" s="37"/>
      <c r="E77" s="38"/>
      <c r="F77" s="39"/>
      <c r="G77" s="37"/>
      <c r="H77" s="37"/>
      <c r="I77" s="38"/>
      <c r="J77" s="39"/>
      <c r="K77" s="38"/>
      <c r="L77" s="39"/>
      <c r="M77" s="37"/>
      <c r="N77" s="60"/>
      <c r="O77" s="60"/>
      <c r="P77" s="40"/>
      <c r="R77" s="13"/>
      <c r="S77" s="13"/>
      <c r="T77" s="13"/>
    </row>
    <row r="78" spans="1:20" s="25" customFormat="1" x14ac:dyDescent="0.25">
      <c r="A78" s="37"/>
      <c r="B78" s="37"/>
      <c r="C78" s="37"/>
      <c r="D78" s="37"/>
      <c r="E78" s="38"/>
      <c r="F78" s="39"/>
      <c r="G78" s="37"/>
      <c r="H78" s="37"/>
      <c r="I78" s="38"/>
      <c r="J78" s="39"/>
      <c r="K78" s="38"/>
      <c r="L78" s="39"/>
      <c r="M78" s="37"/>
      <c r="N78" s="60"/>
      <c r="O78" s="60"/>
      <c r="P78" s="40"/>
      <c r="R78" s="13"/>
      <c r="S78" s="13"/>
      <c r="T78" s="13"/>
    </row>
    <row r="79" spans="1:20" s="25" customFormat="1" x14ac:dyDescent="0.25">
      <c r="A79" s="37"/>
      <c r="B79" s="37"/>
      <c r="C79" s="37"/>
      <c r="D79" s="37"/>
      <c r="E79" s="38"/>
      <c r="F79" s="39"/>
      <c r="G79" s="37"/>
      <c r="H79" s="37"/>
      <c r="I79" s="38"/>
      <c r="J79" s="39"/>
      <c r="K79" s="38"/>
      <c r="L79" s="39"/>
      <c r="M79" s="37"/>
      <c r="N79" s="60"/>
      <c r="O79" s="60"/>
      <c r="P79" s="40"/>
      <c r="R79" s="13"/>
      <c r="S79" s="13"/>
      <c r="T79" s="13"/>
    </row>
    <row r="80" spans="1:20" s="25" customFormat="1" x14ac:dyDescent="0.25">
      <c r="A80" s="37"/>
      <c r="B80" s="37"/>
      <c r="C80" s="37"/>
      <c r="D80" s="37"/>
      <c r="E80" s="38"/>
      <c r="F80" s="39"/>
      <c r="G80" s="37"/>
      <c r="H80" s="37"/>
      <c r="I80" s="38"/>
      <c r="J80" s="39"/>
      <c r="K80" s="38"/>
      <c r="L80" s="39"/>
      <c r="M80" s="37"/>
      <c r="N80" s="60"/>
      <c r="O80" s="60"/>
      <c r="P80" s="40"/>
      <c r="R80" s="13"/>
      <c r="S80" s="13"/>
      <c r="T80" s="13"/>
    </row>
    <row r="81" spans="1:20" s="25" customFormat="1" x14ac:dyDescent="0.25">
      <c r="A81" s="37"/>
      <c r="B81" s="37"/>
      <c r="C81" s="37"/>
      <c r="D81" s="37"/>
      <c r="E81" s="38"/>
      <c r="F81" s="39"/>
      <c r="G81" s="37"/>
      <c r="H81" s="37"/>
      <c r="I81" s="38"/>
      <c r="J81" s="39"/>
      <c r="K81" s="38"/>
      <c r="L81" s="39"/>
      <c r="M81" s="37"/>
      <c r="N81" s="60"/>
      <c r="O81" s="60"/>
      <c r="P81" s="40"/>
      <c r="R81" s="13"/>
      <c r="S81" s="13"/>
      <c r="T81" s="13"/>
    </row>
    <row r="82" spans="1:20" s="25" customFormat="1" x14ac:dyDescent="0.25">
      <c r="A82" s="37"/>
      <c r="B82" s="37"/>
      <c r="C82" s="37"/>
      <c r="D82" s="37"/>
      <c r="E82" s="38"/>
      <c r="F82" s="39"/>
      <c r="G82" s="37"/>
      <c r="H82" s="37"/>
      <c r="I82" s="38"/>
      <c r="J82" s="39"/>
      <c r="K82" s="38"/>
      <c r="L82" s="39"/>
      <c r="M82" s="37"/>
      <c r="N82" s="60"/>
      <c r="O82" s="60"/>
      <c r="P82" s="40"/>
      <c r="R82" s="13"/>
      <c r="S82" s="13"/>
      <c r="T82" s="13"/>
    </row>
    <row r="83" spans="1:20" s="25" customFormat="1" x14ac:dyDescent="0.25">
      <c r="A83" s="37"/>
      <c r="B83" s="37"/>
      <c r="C83" s="37"/>
      <c r="D83" s="37"/>
      <c r="E83" s="38"/>
      <c r="F83" s="39"/>
      <c r="G83" s="37"/>
      <c r="H83" s="37"/>
      <c r="I83" s="38"/>
      <c r="J83" s="39"/>
      <c r="K83" s="38"/>
      <c r="L83" s="39"/>
      <c r="M83" s="37"/>
      <c r="N83" s="60"/>
      <c r="O83" s="60"/>
      <c r="P83" s="40"/>
      <c r="R83" s="13"/>
      <c r="S83" s="13"/>
      <c r="T83" s="13"/>
    </row>
    <row r="84" spans="1:20" s="25" customFormat="1" x14ac:dyDescent="0.25">
      <c r="A84" s="37"/>
      <c r="B84" s="37"/>
      <c r="C84" s="37"/>
      <c r="D84" s="37"/>
      <c r="E84" s="38"/>
      <c r="F84" s="39"/>
      <c r="G84" s="37"/>
      <c r="H84" s="37"/>
      <c r="I84" s="38"/>
      <c r="J84" s="39"/>
      <c r="K84" s="38"/>
      <c r="L84" s="39"/>
      <c r="M84" s="37"/>
      <c r="N84" s="60"/>
      <c r="O84" s="60"/>
      <c r="P84" s="40"/>
      <c r="R84" s="13"/>
      <c r="S84" s="13"/>
      <c r="T84" s="13"/>
    </row>
    <row r="85" spans="1:20" s="25" customFormat="1" x14ac:dyDescent="0.25">
      <c r="A85" s="37"/>
      <c r="B85" s="37"/>
      <c r="C85" s="37"/>
      <c r="D85" s="37"/>
      <c r="E85" s="38"/>
      <c r="F85" s="39"/>
      <c r="G85" s="37"/>
      <c r="H85" s="37"/>
      <c r="I85" s="38"/>
      <c r="J85" s="39"/>
      <c r="K85" s="38"/>
      <c r="L85" s="39"/>
      <c r="M85" s="37"/>
      <c r="N85" s="60"/>
      <c r="O85" s="60"/>
      <c r="P85" s="40"/>
      <c r="R85" s="13"/>
      <c r="S85" s="13"/>
      <c r="T85" s="13"/>
    </row>
    <row r="86" spans="1:20" s="25" customFormat="1" x14ac:dyDescent="0.25">
      <c r="A86" s="37"/>
      <c r="B86" s="37"/>
      <c r="C86" s="37"/>
      <c r="D86" s="37"/>
      <c r="E86" s="38"/>
      <c r="F86" s="39"/>
      <c r="G86" s="37"/>
      <c r="H86" s="37"/>
      <c r="I86" s="38"/>
      <c r="J86" s="39"/>
      <c r="K86" s="38"/>
      <c r="L86" s="39"/>
      <c r="M86" s="37"/>
      <c r="N86" s="60"/>
      <c r="O86" s="60"/>
      <c r="P86" s="40"/>
      <c r="R86" s="13"/>
      <c r="S86" s="13"/>
      <c r="T86" s="13"/>
    </row>
    <row r="87" spans="1:20" s="25" customFormat="1" x14ac:dyDescent="0.25">
      <c r="A87" s="37"/>
      <c r="B87" s="37"/>
      <c r="C87" s="37"/>
      <c r="D87" s="37"/>
      <c r="E87" s="38"/>
      <c r="F87" s="39"/>
      <c r="G87" s="37"/>
      <c r="H87" s="37"/>
      <c r="I87" s="38"/>
      <c r="J87" s="39"/>
      <c r="K87" s="38"/>
      <c r="L87" s="39"/>
      <c r="M87" s="37"/>
      <c r="N87" s="60"/>
      <c r="O87" s="60"/>
      <c r="P87" s="40"/>
      <c r="R87" s="13"/>
      <c r="S87" s="13"/>
      <c r="T87" s="13"/>
    </row>
    <row r="88" spans="1:20" s="25" customFormat="1" x14ac:dyDescent="0.25">
      <c r="A88" s="37"/>
      <c r="B88" s="37"/>
      <c r="C88" s="37"/>
      <c r="D88" s="37"/>
      <c r="E88" s="38"/>
      <c r="F88" s="39"/>
      <c r="G88" s="37"/>
      <c r="H88" s="37"/>
      <c r="I88" s="38"/>
      <c r="J88" s="39"/>
      <c r="K88" s="38"/>
      <c r="L88" s="39"/>
      <c r="M88" s="37"/>
      <c r="N88" s="60"/>
      <c r="O88" s="60"/>
      <c r="P88" s="40"/>
      <c r="R88" s="13"/>
      <c r="S88" s="13"/>
      <c r="T88" s="13"/>
    </row>
    <row r="89" spans="1:20" s="25" customFormat="1" x14ac:dyDescent="0.25">
      <c r="A89" s="37"/>
      <c r="B89" s="37"/>
      <c r="C89" s="37"/>
      <c r="D89" s="37"/>
      <c r="E89" s="38"/>
      <c r="F89" s="39"/>
      <c r="G89" s="37"/>
      <c r="H89" s="37"/>
      <c r="I89" s="38"/>
      <c r="J89" s="39"/>
      <c r="K89" s="38"/>
      <c r="L89" s="39"/>
      <c r="M89" s="37"/>
      <c r="N89" s="60"/>
      <c r="O89" s="60"/>
      <c r="P89" s="40"/>
      <c r="R89" s="13"/>
      <c r="S89" s="13"/>
      <c r="T89" s="13"/>
    </row>
    <row r="90" spans="1:20" s="25" customFormat="1" x14ac:dyDescent="0.25">
      <c r="A90" s="37"/>
      <c r="B90" s="37"/>
      <c r="C90" s="37"/>
      <c r="D90" s="37"/>
      <c r="E90" s="38"/>
      <c r="F90" s="39"/>
      <c r="G90" s="37"/>
      <c r="H90" s="37"/>
      <c r="I90" s="38"/>
      <c r="J90" s="39"/>
      <c r="K90" s="38"/>
      <c r="L90" s="39"/>
      <c r="M90" s="37"/>
      <c r="N90" s="60"/>
      <c r="O90" s="60"/>
      <c r="P90" s="40"/>
      <c r="R90" s="13"/>
      <c r="S90" s="13"/>
      <c r="T90" s="13"/>
    </row>
    <row r="91" spans="1:20" s="25" customFormat="1" x14ac:dyDescent="0.25">
      <c r="A91" s="37"/>
      <c r="B91" s="37"/>
      <c r="C91" s="37"/>
      <c r="D91" s="37"/>
      <c r="E91" s="38"/>
      <c r="F91" s="39"/>
      <c r="G91" s="37"/>
      <c r="H91" s="37"/>
      <c r="I91" s="38"/>
      <c r="J91" s="39"/>
      <c r="K91" s="38"/>
      <c r="L91" s="39"/>
      <c r="M91" s="37"/>
      <c r="N91" s="60"/>
      <c r="O91" s="60"/>
      <c r="P91" s="40"/>
      <c r="R91" s="13"/>
      <c r="S91" s="13"/>
      <c r="T91" s="13"/>
    </row>
    <row r="92" spans="1:20" s="25" customFormat="1" x14ac:dyDescent="0.25">
      <c r="A92" s="37"/>
      <c r="B92" s="37"/>
      <c r="C92" s="37"/>
      <c r="D92" s="37"/>
      <c r="E92" s="38"/>
      <c r="F92" s="39"/>
      <c r="G92" s="37"/>
      <c r="H92" s="37"/>
      <c r="I92" s="38"/>
      <c r="J92" s="39"/>
      <c r="K92" s="38"/>
      <c r="L92" s="39"/>
      <c r="M92" s="37"/>
      <c r="N92" s="60"/>
      <c r="O92" s="60"/>
      <c r="P92" s="40"/>
      <c r="R92" s="13"/>
      <c r="S92" s="13"/>
      <c r="T92" s="13"/>
    </row>
    <row r="93" spans="1:20" s="25" customFormat="1" x14ac:dyDescent="0.25">
      <c r="A93" s="37"/>
      <c r="B93" s="37"/>
      <c r="C93" s="37"/>
      <c r="D93" s="37"/>
      <c r="E93" s="38"/>
      <c r="F93" s="39"/>
      <c r="G93" s="37"/>
      <c r="H93" s="37"/>
      <c r="I93" s="38"/>
      <c r="J93" s="39"/>
      <c r="K93" s="38"/>
      <c r="L93" s="39"/>
      <c r="M93" s="37"/>
      <c r="N93" s="60"/>
      <c r="O93" s="60"/>
      <c r="P93" s="40"/>
      <c r="R93" s="13"/>
      <c r="S93" s="13"/>
      <c r="T93" s="13"/>
    </row>
    <row r="94" spans="1:20" s="25" customFormat="1" x14ac:dyDescent="0.25">
      <c r="A94" s="37"/>
      <c r="B94" s="37"/>
      <c r="C94" s="37"/>
      <c r="D94" s="37"/>
      <c r="E94" s="38"/>
      <c r="F94" s="39"/>
      <c r="G94" s="37"/>
      <c r="H94" s="37"/>
      <c r="I94" s="38"/>
      <c r="J94" s="39"/>
      <c r="K94" s="38"/>
      <c r="L94" s="39"/>
      <c r="M94" s="37"/>
      <c r="N94" s="60"/>
      <c r="O94" s="60"/>
      <c r="P94" s="40"/>
      <c r="R94" s="13"/>
      <c r="S94" s="13"/>
      <c r="T94" s="13"/>
    </row>
    <row r="95" spans="1:20" s="25" customFormat="1" x14ac:dyDescent="0.25">
      <c r="A95" s="37"/>
      <c r="B95" s="37"/>
      <c r="C95" s="37"/>
      <c r="D95" s="37"/>
      <c r="E95" s="38"/>
      <c r="F95" s="39"/>
      <c r="G95" s="37"/>
      <c r="H95" s="37"/>
      <c r="I95" s="38"/>
      <c r="J95" s="39"/>
      <c r="K95" s="38"/>
      <c r="L95" s="39"/>
      <c r="M95" s="37"/>
      <c r="N95" s="60"/>
      <c r="O95" s="60"/>
      <c r="P95" s="40"/>
      <c r="R95" s="13"/>
      <c r="S95" s="13"/>
      <c r="T95" s="13"/>
    </row>
    <row r="96" spans="1:20" s="25" customFormat="1" x14ac:dyDescent="0.25">
      <c r="A96" s="37"/>
      <c r="B96" s="37"/>
      <c r="C96" s="37"/>
      <c r="D96" s="37"/>
      <c r="E96" s="38"/>
      <c r="F96" s="39"/>
      <c r="G96" s="37"/>
      <c r="H96" s="37"/>
      <c r="I96" s="38"/>
      <c r="J96" s="39"/>
      <c r="K96" s="38"/>
      <c r="L96" s="39"/>
      <c r="M96" s="37"/>
      <c r="N96" s="60"/>
      <c r="O96" s="60"/>
      <c r="P96" s="40"/>
      <c r="R96" s="13"/>
      <c r="S96" s="13"/>
      <c r="T96" s="13"/>
    </row>
    <row r="97" spans="1:20" s="25" customFormat="1" x14ac:dyDescent="0.25">
      <c r="A97" s="37"/>
      <c r="B97" s="37"/>
      <c r="C97" s="37"/>
      <c r="D97" s="37"/>
      <c r="E97" s="38"/>
      <c r="F97" s="39"/>
      <c r="G97" s="37"/>
      <c r="H97" s="37"/>
      <c r="I97" s="38"/>
      <c r="J97" s="39"/>
      <c r="K97" s="38"/>
      <c r="L97" s="39"/>
      <c r="M97" s="37"/>
      <c r="N97" s="60"/>
      <c r="O97" s="60"/>
      <c r="P97" s="40"/>
      <c r="R97" s="13"/>
      <c r="S97" s="13"/>
      <c r="T97" s="13"/>
    </row>
    <row r="98" spans="1:20" s="25" customFormat="1" x14ac:dyDescent="0.25">
      <c r="A98" s="37"/>
      <c r="B98" s="37"/>
      <c r="C98" s="37"/>
      <c r="D98" s="37"/>
      <c r="E98" s="38"/>
      <c r="F98" s="39"/>
      <c r="G98" s="37"/>
      <c r="H98" s="37"/>
      <c r="I98" s="38"/>
      <c r="J98" s="39"/>
      <c r="K98" s="38"/>
      <c r="L98" s="39"/>
      <c r="M98" s="37"/>
      <c r="N98" s="60"/>
      <c r="O98" s="60"/>
      <c r="P98" s="40"/>
      <c r="R98" s="13"/>
      <c r="S98" s="13"/>
      <c r="T98" s="13"/>
    </row>
    <row r="99" spans="1:20" s="25" customFormat="1" x14ac:dyDescent="0.25">
      <c r="A99" s="37"/>
      <c r="B99" s="37"/>
      <c r="C99" s="37"/>
      <c r="D99" s="37"/>
      <c r="E99" s="38"/>
      <c r="F99" s="39"/>
      <c r="G99" s="37"/>
      <c r="H99" s="37"/>
      <c r="I99" s="38"/>
      <c r="J99" s="39"/>
      <c r="K99" s="38"/>
      <c r="L99" s="39"/>
      <c r="M99" s="37"/>
      <c r="N99" s="60"/>
      <c r="O99" s="60"/>
      <c r="P99" s="40"/>
      <c r="R99" s="13"/>
      <c r="S99" s="13"/>
      <c r="T99" s="13"/>
    </row>
    <row r="100" spans="1:20" s="25" customFormat="1" x14ac:dyDescent="0.25">
      <c r="A100" s="37"/>
      <c r="B100" s="37"/>
      <c r="C100" s="37"/>
      <c r="D100" s="37"/>
      <c r="E100" s="38"/>
      <c r="F100" s="39"/>
      <c r="G100" s="37"/>
      <c r="H100" s="37"/>
      <c r="I100" s="38"/>
      <c r="J100" s="39"/>
      <c r="K100" s="38"/>
      <c r="L100" s="39"/>
      <c r="M100" s="37"/>
      <c r="N100" s="60"/>
      <c r="O100" s="60"/>
      <c r="P100" s="40"/>
      <c r="R100" s="13"/>
      <c r="S100" s="13"/>
      <c r="T100" s="13"/>
    </row>
    <row r="101" spans="1:20" s="25" customFormat="1" x14ac:dyDescent="0.25">
      <c r="A101" s="37"/>
      <c r="B101" s="37"/>
      <c r="C101" s="37"/>
      <c r="D101" s="37"/>
      <c r="E101" s="38"/>
      <c r="F101" s="39"/>
      <c r="G101" s="37"/>
      <c r="H101" s="37"/>
      <c r="I101" s="38"/>
      <c r="J101" s="39"/>
      <c r="K101" s="38"/>
      <c r="L101" s="39"/>
      <c r="M101" s="37"/>
      <c r="N101" s="60"/>
      <c r="O101" s="60"/>
      <c r="P101" s="40"/>
      <c r="R101" s="13"/>
      <c r="S101" s="13"/>
      <c r="T101" s="13"/>
    </row>
    <row r="102" spans="1:20" s="25" customFormat="1" x14ac:dyDescent="0.25">
      <c r="A102" s="37"/>
      <c r="B102" s="37"/>
      <c r="C102" s="37"/>
      <c r="D102" s="37"/>
      <c r="E102" s="38"/>
      <c r="F102" s="39"/>
      <c r="G102" s="37"/>
      <c r="H102" s="37"/>
      <c r="I102" s="38"/>
      <c r="J102" s="39"/>
      <c r="K102" s="38"/>
      <c r="L102" s="39"/>
      <c r="M102" s="37"/>
      <c r="N102" s="60"/>
      <c r="O102" s="60"/>
      <c r="P102" s="40"/>
      <c r="R102" s="13"/>
      <c r="S102" s="13"/>
      <c r="T102" s="13"/>
    </row>
    <row r="103" spans="1:20" s="25" customFormat="1" x14ac:dyDescent="0.25">
      <c r="A103" s="37"/>
      <c r="B103" s="37"/>
      <c r="C103" s="37"/>
      <c r="D103" s="37"/>
      <c r="E103" s="38"/>
      <c r="F103" s="39"/>
      <c r="G103" s="37"/>
      <c r="H103" s="37"/>
      <c r="I103" s="38"/>
      <c r="J103" s="39"/>
      <c r="K103" s="38"/>
      <c r="L103" s="39"/>
      <c r="M103" s="37"/>
      <c r="N103" s="60"/>
      <c r="O103" s="60"/>
      <c r="P103" s="40"/>
      <c r="R103" s="13"/>
      <c r="S103" s="13"/>
      <c r="T103" s="13"/>
    </row>
    <row r="104" spans="1:20" s="25" customFormat="1" x14ac:dyDescent="0.25">
      <c r="A104" s="37"/>
      <c r="B104" s="37"/>
      <c r="C104" s="37"/>
      <c r="D104" s="37"/>
      <c r="E104" s="38"/>
      <c r="F104" s="39"/>
      <c r="G104" s="37"/>
      <c r="H104" s="37"/>
      <c r="I104" s="38"/>
      <c r="J104" s="39"/>
      <c r="K104" s="38"/>
      <c r="L104" s="39"/>
      <c r="M104" s="37"/>
      <c r="N104" s="60"/>
      <c r="O104" s="60"/>
      <c r="P104" s="40"/>
      <c r="R104" s="13"/>
      <c r="S104" s="13"/>
      <c r="T104" s="13"/>
    </row>
    <row r="105" spans="1:20" s="25" customFormat="1" x14ac:dyDescent="0.25">
      <c r="A105" s="37"/>
      <c r="B105" s="37"/>
      <c r="C105" s="37"/>
      <c r="D105" s="37"/>
      <c r="E105" s="38"/>
      <c r="F105" s="39"/>
      <c r="G105" s="37"/>
      <c r="H105" s="37"/>
      <c r="I105" s="38"/>
      <c r="J105" s="39"/>
      <c r="K105" s="38"/>
      <c r="L105" s="39"/>
      <c r="M105" s="37"/>
      <c r="N105" s="60"/>
      <c r="O105" s="60"/>
      <c r="P105" s="40"/>
      <c r="R105" s="13"/>
      <c r="S105" s="13"/>
      <c r="T105" s="13"/>
    </row>
    <row r="106" spans="1:20" s="25" customFormat="1" x14ac:dyDescent="0.25">
      <c r="A106" s="37"/>
      <c r="B106" s="37"/>
      <c r="C106" s="37"/>
      <c r="D106" s="37"/>
      <c r="E106" s="38"/>
      <c r="F106" s="39"/>
      <c r="G106" s="37"/>
      <c r="H106" s="37"/>
      <c r="I106" s="38"/>
      <c r="J106" s="39"/>
      <c r="K106" s="38"/>
      <c r="L106" s="39"/>
      <c r="M106" s="37"/>
      <c r="N106" s="60"/>
      <c r="O106" s="60"/>
      <c r="P106" s="40"/>
      <c r="R106" s="13"/>
      <c r="S106" s="13"/>
      <c r="T106" s="13"/>
    </row>
    <row r="107" spans="1:20" s="25" customFormat="1" x14ac:dyDescent="0.25">
      <c r="A107" s="37"/>
      <c r="B107" s="37"/>
      <c r="C107" s="37"/>
      <c r="D107" s="37"/>
      <c r="E107" s="38"/>
      <c r="F107" s="39"/>
      <c r="G107" s="37"/>
      <c r="H107" s="37"/>
      <c r="I107" s="38"/>
      <c r="J107" s="39"/>
      <c r="K107" s="38"/>
      <c r="L107" s="39"/>
      <c r="M107" s="37"/>
      <c r="N107" s="60"/>
      <c r="O107" s="60"/>
      <c r="P107" s="40"/>
      <c r="R107" s="13"/>
      <c r="S107" s="13"/>
      <c r="T107" s="13"/>
    </row>
    <row r="108" spans="1:20" s="25" customFormat="1" x14ac:dyDescent="0.25">
      <c r="A108" s="37"/>
      <c r="B108" s="37"/>
      <c r="C108" s="37"/>
      <c r="D108" s="37"/>
      <c r="E108" s="38"/>
      <c r="F108" s="39"/>
      <c r="G108" s="37"/>
      <c r="H108" s="37"/>
      <c r="I108" s="38"/>
      <c r="J108" s="39"/>
      <c r="K108" s="38"/>
      <c r="L108" s="39"/>
      <c r="M108" s="37"/>
      <c r="N108" s="60"/>
      <c r="O108" s="60"/>
      <c r="P108" s="40"/>
      <c r="R108" s="13"/>
      <c r="S108" s="13"/>
      <c r="T108" s="13"/>
    </row>
    <row r="109" spans="1:20" s="25" customFormat="1" x14ac:dyDescent="0.25">
      <c r="A109" s="37"/>
      <c r="B109" s="37"/>
      <c r="C109" s="37"/>
      <c r="D109" s="37"/>
      <c r="E109" s="38"/>
      <c r="F109" s="39"/>
      <c r="G109" s="37"/>
      <c r="H109" s="37"/>
      <c r="I109" s="38"/>
      <c r="J109" s="39"/>
      <c r="K109" s="38"/>
      <c r="L109" s="39"/>
      <c r="M109" s="37"/>
      <c r="N109" s="60"/>
      <c r="O109" s="60"/>
      <c r="P109" s="40"/>
      <c r="R109" s="13"/>
      <c r="S109" s="13"/>
      <c r="T109" s="13"/>
    </row>
    <row r="110" spans="1:20" s="25" customFormat="1" x14ac:dyDescent="0.25">
      <c r="A110" s="37"/>
      <c r="B110" s="37"/>
      <c r="C110" s="37"/>
      <c r="D110" s="37"/>
      <c r="E110" s="38"/>
      <c r="F110" s="39"/>
      <c r="G110" s="37"/>
      <c r="H110" s="37"/>
      <c r="I110" s="38"/>
      <c r="J110" s="39"/>
      <c r="K110" s="38"/>
      <c r="L110" s="39"/>
      <c r="M110" s="37"/>
      <c r="N110" s="60"/>
      <c r="O110" s="60"/>
      <c r="P110" s="40"/>
      <c r="R110" s="13"/>
      <c r="S110" s="13"/>
      <c r="T110" s="13"/>
    </row>
    <row r="111" spans="1:20" s="25" customFormat="1" x14ac:dyDescent="0.25">
      <c r="A111" s="37"/>
      <c r="B111" s="37"/>
      <c r="C111" s="37"/>
      <c r="D111" s="37"/>
      <c r="E111" s="38"/>
      <c r="F111" s="39"/>
      <c r="G111" s="37"/>
      <c r="H111" s="37"/>
      <c r="I111" s="38"/>
      <c r="J111" s="39"/>
      <c r="K111" s="38"/>
      <c r="L111" s="39"/>
      <c r="M111" s="37"/>
      <c r="N111" s="60"/>
      <c r="O111" s="60"/>
      <c r="P111" s="40"/>
      <c r="R111" s="13"/>
      <c r="S111" s="13"/>
      <c r="T111" s="13"/>
    </row>
    <row r="112" spans="1:20" s="25" customFormat="1" x14ac:dyDescent="0.25">
      <c r="A112" s="37"/>
      <c r="B112" s="37"/>
      <c r="C112" s="37"/>
      <c r="D112" s="37"/>
      <c r="E112" s="38"/>
      <c r="F112" s="39"/>
      <c r="G112" s="37"/>
      <c r="H112" s="37"/>
      <c r="I112" s="38"/>
      <c r="J112" s="39"/>
      <c r="K112" s="38"/>
      <c r="L112" s="39"/>
      <c r="M112" s="37"/>
      <c r="N112" s="60"/>
      <c r="O112" s="60"/>
      <c r="P112" s="40"/>
      <c r="R112" s="13"/>
      <c r="S112" s="13"/>
      <c r="T112" s="13"/>
    </row>
    <row r="113" spans="1:20" s="25" customFormat="1" x14ac:dyDescent="0.25">
      <c r="A113" s="37"/>
      <c r="B113" s="37"/>
      <c r="C113" s="37"/>
      <c r="D113" s="37"/>
      <c r="E113" s="38"/>
      <c r="F113" s="39"/>
      <c r="G113" s="37"/>
      <c r="H113" s="37"/>
      <c r="I113" s="38"/>
      <c r="J113" s="39"/>
      <c r="K113" s="38"/>
      <c r="L113" s="39"/>
      <c r="M113" s="37"/>
      <c r="N113" s="60"/>
      <c r="O113" s="60"/>
      <c r="P113" s="40"/>
      <c r="R113" s="13"/>
      <c r="S113" s="13"/>
      <c r="T113" s="13"/>
    </row>
    <row r="114" spans="1:20" s="25" customFormat="1" x14ac:dyDescent="0.25">
      <c r="A114" s="37"/>
      <c r="B114" s="37"/>
      <c r="C114" s="37"/>
      <c r="D114" s="37"/>
      <c r="E114" s="38"/>
      <c r="F114" s="39"/>
      <c r="G114" s="37"/>
      <c r="H114" s="37"/>
      <c r="I114" s="38"/>
      <c r="J114" s="39"/>
      <c r="K114" s="38"/>
      <c r="L114" s="39"/>
      <c r="M114" s="37"/>
      <c r="N114" s="60"/>
      <c r="O114" s="60"/>
      <c r="P114" s="40"/>
      <c r="R114" s="13"/>
      <c r="S114" s="13"/>
      <c r="T114" s="13"/>
    </row>
    <row r="115" spans="1:20" s="25" customFormat="1" x14ac:dyDescent="0.25">
      <c r="A115" s="37"/>
      <c r="B115" s="37"/>
      <c r="C115" s="37"/>
      <c r="D115" s="37"/>
      <c r="E115" s="38"/>
      <c r="F115" s="39"/>
      <c r="G115" s="37"/>
      <c r="H115" s="37"/>
      <c r="I115" s="38"/>
      <c r="J115" s="39"/>
      <c r="K115" s="38"/>
      <c r="L115" s="39"/>
      <c r="M115" s="37"/>
      <c r="N115" s="60"/>
      <c r="O115" s="60"/>
      <c r="P115" s="40"/>
      <c r="R115" s="13"/>
      <c r="S115" s="13"/>
      <c r="T115" s="13"/>
    </row>
    <row r="116" spans="1:20" s="25" customFormat="1" x14ac:dyDescent="0.25">
      <c r="A116" s="37"/>
      <c r="B116" s="37"/>
      <c r="C116" s="37"/>
      <c r="D116" s="37"/>
      <c r="E116" s="38"/>
      <c r="F116" s="39"/>
      <c r="G116" s="37"/>
      <c r="H116" s="37"/>
      <c r="I116" s="38"/>
      <c r="J116" s="39"/>
      <c r="K116" s="38"/>
      <c r="L116" s="39"/>
      <c r="M116" s="37"/>
      <c r="N116" s="60"/>
      <c r="O116" s="60"/>
      <c r="P116" s="40"/>
      <c r="R116" s="13"/>
      <c r="S116" s="13"/>
      <c r="T116" s="13"/>
    </row>
    <row r="117" spans="1:20" s="25" customFormat="1" x14ac:dyDescent="0.25">
      <c r="A117" s="37"/>
      <c r="B117" s="37"/>
      <c r="C117" s="37"/>
      <c r="D117" s="37"/>
      <c r="E117" s="38"/>
      <c r="F117" s="39"/>
      <c r="G117" s="37"/>
      <c r="H117" s="37"/>
      <c r="I117" s="38"/>
      <c r="J117" s="39"/>
      <c r="K117" s="38"/>
      <c r="L117" s="39"/>
      <c r="M117" s="37"/>
      <c r="N117" s="60"/>
      <c r="O117" s="60"/>
      <c r="P117" s="40"/>
      <c r="R117" s="13"/>
      <c r="S117" s="13"/>
      <c r="T117" s="13"/>
    </row>
    <row r="118" spans="1:20" s="25" customFormat="1" x14ac:dyDescent="0.25">
      <c r="A118" s="37"/>
      <c r="B118" s="37"/>
      <c r="C118" s="37"/>
      <c r="D118" s="37"/>
      <c r="E118" s="38"/>
      <c r="F118" s="39"/>
      <c r="G118" s="37"/>
      <c r="H118" s="37"/>
      <c r="I118" s="38"/>
      <c r="J118" s="39"/>
      <c r="K118" s="38"/>
      <c r="L118" s="39"/>
      <c r="M118" s="37"/>
      <c r="N118" s="60"/>
      <c r="O118" s="60"/>
      <c r="P118" s="40"/>
      <c r="R118" s="13"/>
      <c r="S118" s="13"/>
      <c r="T118" s="13"/>
    </row>
    <row r="119" spans="1:20" s="25" customFormat="1" x14ac:dyDescent="0.25">
      <c r="A119" s="37"/>
      <c r="B119" s="37"/>
      <c r="C119" s="37"/>
      <c r="D119" s="37"/>
      <c r="E119" s="38"/>
      <c r="F119" s="39"/>
      <c r="G119" s="37"/>
      <c r="H119" s="37"/>
      <c r="I119" s="38"/>
      <c r="J119" s="39"/>
      <c r="K119" s="38"/>
      <c r="L119" s="39"/>
      <c r="M119" s="37"/>
      <c r="N119" s="60"/>
      <c r="O119" s="60"/>
      <c r="P119" s="40"/>
      <c r="R119" s="13"/>
      <c r="S119" s="13"/>
      <c r="T119" s="13"/>
    </row>
    <row r="120" spans="1:20" s="25" customFormat="1" x14ac:dyDescent="0.25">
      <c r="A120" s="37"/>
      <c r="B120" s="37"/>
      <c r="C120" s="37"/>
      <c r="D120" s="37"/>
      <c r="E120" s="38"/>
      <c r="F120" s="39"/>
      <c r="G120" s="37"/>
      <c r="H120" s="37"/>
      <c r="I120" s="38"/>
      <c r="J120" s="39"/>
      <c r="K120" s="38"/>
      <c r="L120" s="39"/>
      <c r="M120" s="37"/>
      <c r="N120" s="60"/>
      <c r="O120" s="60"/>
      <c r="P120" s="40"/>
      <c r="R120" s="13"/>
      <c r="S120" s="13"/>
      <c r="T120" s="13"/>
    </row>
    <row r="121" spans="1:20" s="25" customFormat="1" x14ac:dyDescent="0.25">
      <c r="A121" s="37"/>
      <c r="B121" s="37"/>
      <c r="C121" s="37"/>
      <c r="D121" s="37"/>
      <c r="E121" s="38"/>
      <c r="F121" s="39"/>
      <c r="G121" s="37"/>
      <c r="H121" s="37"/>
      <c r="I121" s="38"/>
      <c r="J121" s="39"/>
      <c r="K121" s="38"/>
      <c r="L121" s="39"/>
      <c r="M121" s="37"/>
      <c r="N121" s="60"/>
      <c r="O121" s="60"/>
      <c r="P121" s="40"/>
      <c r="R121" s="13"/>
      <c r="S121" s="13"/>
      <c r="T121" s="13"/>
    </row>
    <row r="122" spans="1:20" s="25" customFormat="1" x14ac:dyDescent="0.25">
      <c r="A122" s="37"/>
      <c r="B122" s="37"/>
      <c r="C122" s="37"/>
      <c r="D122" s="37"/>
      <c r="E122" s="38"/>
      <c r="F122" s="39"/>
      <c r="G122" s="37"/>
      <c r="H122" s="37"/>
      <c r="I122" s="38"/>
      <c r="J122" s="39"/>
      <c r="K122" s="38"/>
      <c r="L122" s="39"/>
      <c r="M122" s="37"/>
      <c r="N122" s="60"/>
      <c r="O122" s="60"/>
      <c r="P122" s="40"/>
      <c r="R122" s="13"/>
      <c r="S122" s="13"/>
      <c r="T122" s="13"/>
    </row>
    <row r="123" spans="1:20" s="25" customFormat="1" x14ac:dyDescent="0.25">
      <c r="A123" s="37"/>
      <c r="B123" s="37"/>
      <c r="C123" s="37"/>
      <c r="D123" s="37"/>
      <c r="E123" s="38"/>
      <c r="F123" s="39"/>
      <c r="G123" s="37"/>
      <c r="H123" s="37"/>
      <c r="I123" s="38"/>
      <c r="J123" s="39"/>
      <c r="K123" s="38"/>
      <c r="L123" s="39"/>
      <c r="M123" s="37"/>
      <c r="N123" s="60"/>
      <c r="O123" s="60"/>
      <c r="P123" s="40"/>
      <c r="R123" s="13"/>
      <c r="S123" s="13"/>
      <c r="T123" s="13"/>
    </row>
    <row r="124" spans="1:20" s="25" customFormat="1" x14ac:dyDescent="0.25">
      <c r="A124" s="37"/>
      <c r="B124" s="37"/>
      <c r="C124" s="37"/>
      <c r="D124" s="37"/>
      <c r="E124" s="38"/>
      <c r="F124" s="39"/>
      <c r="G124" s="37"/>
      <c r="H124" s="37"/>
      <c r="I124" s="38"/>
      <c r="J124" s="39"/>
      <c r="K124" s="38"/>
      <c r="L124" s="39"/>
      <c r="M124" s="37"/>
      <c r="N124" s="60"/>
      <c r="O124" s="60"/>
      <c r="P124" s="40"/>
      <c r="R124" s="13"/>
      <c r="S124" s="13"/>
      <c r="T124" s="13"/>
    </row>
    <row r="125" spans="1:20" s="25" customFormat="1" x14ac:dyDescent="0.25">
      <c r="A125" s="37"/>
      <c r="B125" s="37"/>
      <c r="C125" s="37"/>
      <c r="D125" s="37"/>
      <c r="E125" s="38"/>
      <c r="F125" s="39"/>
      <c r="G125" s="37"/>
      <c r="H125" s="37"/>
      <c r="I125" s="38"/>
      <c r="J125" s="39"/>
      <c r="K125" s="38"/>
      <c r="L125" s="39"/>
      <c r="M125" s="37"/>
      <c r="N125" s="60"/>
      <c r="O125" s="60"/>
      <c r="P125" s="40"/>
      <c r="R125" s="13"/>
      <c r="S125" s="13"/>
      <c r="T125" s="13"/>
    </row>
    <row r="126" spans="1:20" s="25" customFormat="1" x14ac:dyDescent="0.25">
      <c r="A126" s="37"/>
      <c r="B126" s="37"/>
      <c r="C126" s="37"/>
      <c r="D126" s="37"/>
      <c r="E126" s="38"/>
      <c r="F126" s="39"/>
      <c r="G126" s="37"/>
      <c r="H126" s="37"/>
      <c r="I126" s="38"/>
      <c r="J126" s="39"/>
      <c r="K126" s="38"/>
      <c r="L126" s="39"/>
      <c r="M126" s="37"/>
      <c r="N126" s="60"/>
      <c r="O126" s="60"/>
      <c r="P126" s="40"/>
      <c r="R126" s="13"/>
      <c r="S126" s="13"/>
      <c r="T126" s="13"/>
    </row>
    <row r="127" spans="1:20" s="25" customFormat="1" x14ac:dyDescent="0.25">
      <c r="A127" s="37"/>
      <c r="B127" s="37"/>
      <c r="C127" s="37"/>
      <c r="D127" s="37"/>
      <c r="E127" s="38"/>
      <c r="F127" s="39"/>
      <c r="G127" s="37"/>
      <c r="H127" s="37"/>
      <c r="I127" s="38"/>
      <c r="J127" s="39"/>
      <c r="K127" s="38"/>
      <c r="L127" s="39"/>
      <c r="M127" s="37"/>
      <c r="N127" s="60"/>
      <c r="O127" s="60"/>
      <c r="P127" s="40"/>
      <c r="R127" s="13"/>
      <c r="S127" s="13"/>
      <c r="T127" s="13"/>
    </row>
    <row r="128" spans="1:20" s="25" customFormat="1" x14ac:dyDescent="0.25">
      <c r="A128" s="37"/>
      <c r="B128" s="37"/>
      <c r="C128" s="37"/>
      <c r="D128" s="37"/>
      <c r="E128" s="38"/>
      <c r="F128" s="39"/>
      <c r="G128" s="37"/>
      <c r="H128" s="37"/>
      <c r="I128" s="38"/>
      <c r="J128" s="39"/>
      <c r="K128" s="38"/>
      <c r="L128" s="39"/>
      <c r="M128" s="37"/>
      <c r="N128" s="60"/>
      <c r="O128" s="60"/>
      <c r="P128" s="40"/>
      <c r="R128" s="13"/>
      <c r="S128" s="13"/>
      <c r="T128" s="13"/>
    </row>
    <row r="129" spans="1:20" s="25" customFormat="1" x14ac:dyDescent="0.25">
      <c r="A129" s="37"/>
      <c r="B129" s="37"/>
      <c r="C129" s="37"/>
      <c r="D129" s="37"/>
      <c r="E129" s="38"/>
      <c r="F129" s="39"/>
      <c r="G129" s="37"/>
      <c r="H129" s="37"/>
      <c r="I129" s="38"/>
      <c r="J129" s="39"/>
      <c r="K129" s="38"/>
      <c r="L129" s="39"/>
      <c r="M129" s="37"/>
      <c r="N129" s="60"/>
      <c r="O129" s="60"/>
      <c r="P129" s="40"/>
      <c r="R129" s="13"/>
      <c r="S129" s="13"/>
      <c r="T129" s="13"/>
    </row>
    <row r="130" spans="1:20" s="25" customFormat="1" x14ac:dyDescent="0.25">
      <c r="A130" s="37"/>
      <c r="B130" s="37"/>
      <c r="C130" s="37"/>
      <c r="D130" s="37"/>
      <c r="E130" s="38"/>
      <c r="F130" s="39"/>
      <c r="G130" s="37"/>
      <c r="H130" s="37"/>
      <c r="I130" s="38"/>
      <c r="J130" s="39"/>
      <c r="K130" s="38"/>
      <c r="L130" s="39"/>
      <c r="M130" s="37"/>
      <c r="N130" s="60"/>
      <c r="O130" s="60"/>
      <c r="P130" s="40"/>
      <c r="R130" s="13"/>
      <c r="S130" s="13"/>
      <c r="T130" s="13"/>
    </row>
    <row r="131" spans="1:20" s="25" customFormat="1" x14ac:dyDescent="0.25">
      <c r="A131" s="37"/>
      <c r="B131" s="37"/>
      <c r="C131" s="37"/>
      <c r="D131" s="37"/>
      <c r="E131" s="38"/>
      <c r="F131" s="39"/>
      <c r="G131" s="37"/>
      <c r="H131" s="37"/>
      <c r="I131" s="38"/>
      <c r="J131" s="39"/>
      <c r="K131" s="38"/>
      <c r="L131" s="39"/>
      <c r="M131" s="37"/>
      <c r="N131" s="60"/>
      <c r="O131" s="60"/>
      <c r="P131" s="40"/>
      <c r="R131" s="13"/>
      <c r="S131" s="13"/>
      <c r="T131" s="13"/>
    </row>
    <row r="132" spans="1:20" s="25" customFormat="1" x14ac:dyDescent="0.25">
      <c r="A132" s="37"/>
      <c r="B132" s="37"/>
      <c r="C132" s="37"/>
      <c r="D132" s="37"/>
      <c r="E132" s="38"/>
      <c r="F132" s="39"/>
      <c r="G132" s="37"/>
      <c r="H132" s="37"/>
      <c r="I132" s="38"/>
      <c r="J132" s="39"/>
      <c r="K132" s="38"/>
      <c r="L132" s="39"/>
      <c r="M132" s="37"/>
      <c r="N132" s="60"/>
      <c r="O132" s="60"/>
      <c r="P132" s="40"/>
      <c r="R132" s="13"/>
      <c r="S132" s="13"/>
      <c r="T132" s="13"/>
    </row>
    <row r="133" spans="1:20" s="25" customFormat="1" x14ac:dyDescent="0.25">
      <c r="A133" s="37"/>
      <c r="B133" s="37"/>
      <c r="C133" s="37"/>
      <c r="D133" s="37"/>
      <c r="E133" s="38"/>
      <c r="F133" s="39"/>
      <c r="G133" s="37"/>
      <c r="H133" s="37"/>
      <c r="I133" s="38"/>
      <c r="J133" s="39"/>
      <c r="K133" s="38"/>
      <c r="L133" s="39"/>
      <c r="M133" s="37"/>
      <c r="N133" s="60"/>
      <c r="O133" s="60"/>
      <c r="P133" s="40"/>
      <c r="R133" s="13"/>
      <c r="S133" s="13"/>
      <c r="T133" s="13"/>
    </row>
    <row r="134" spans="1:20" s="25" customFormat="1" x14ac:dyDescent="0.25">
      <c r="A134" s="37"/>
      <c r="B134" s="37"/>
      <c r="C134" s="37"/>
      <c r="D134" s="37"/>
      <c r="E134" s="38"/>
      <c r="F134" s="39"/>
      <c r="G134" s="37"/>
      <c r="H134" s="37"/>
      <c r="I134" s="38"/>
      <c r="J134" s="39"/>
      <c r="K134" s="38"/>
      <c r="L134" s="39"/>
      <c r="M134" s="37"/>
      <c r="N134" s="60"/>
      <c r="O134" s="60"/>
      <c r="P134" s="40"/>
      <c r="R134" s="13"/>
      <c r="S134" s="13"/>
      <c r="T134" s="13"/>
    </row>
    <row r="135" spans="1:20" s="25" customFormat="1" x14ac:dyDescent="0.25">
      <c r="A135" s="37"/>
      <c r="B135" s="37"/>
      <c r="C135" s="37"/>
      <c r="D135" s="37"/>
      <c r="E135" s="38"/>
      <c r="F135" s="39"/>
      <c r="G135" s="37"/>
      <c r="H135" s="37"/>
      <c r="I135" s="38"/>
      <c r="J135" s="39"/>
      <c r="K135" s="38"/>
      <c r="L135" s="39"/>
      <c r="M135" s="37"/>
      <c r="N135" s="60"/>
      <c r="O135" s="60"/>
      <c r="P135" s="40"/>
      <c r="R135" s="13"/>
      <c r="S135" s="13"/>
      <c r="T135" s="13"/>
    </row>
    <row r="136" spans="1:20" s="25" customFormat="1" x14ac:dyDescent="0.25">
      <c r="A136" s="37"/>
      <c r="B136" s="37"/>
      <c r="C136" s="37"/>
      <c r="D136" s="37"/>
      <c r="E136" s="38"/>
      <c r="F136" s="39"/>
      <c r="G136" s="37"/>
      <c r="H136" s="37"/>
      <c r="I136" s="38"/>
      <c r="J136" s="39"/>
      <c r="K136" s="38"/>
      <c r="L136" s="39"/>
      <c r="M136" s="37"/>
      <c r="N136" s="60"/>
      <c r="O136" s="60"/>
      <c r="P136" s="40"/>
      <c r="R136" s="13"/>
      <c r="S136" s="13"/>
      <c r="T136" s="13"/>
    </row>
    <row r="137" spans="1:20" s="25" customFormat="1" x14ac:dyDescent="0.25">
      <c r="A137" s="37"/>
      <c r="B137" s="37"/>
      <c r="C137" s="37"/>
      <c r="D137" s="37"/>
      <c r="E137" s="38"/>
      <c r="F137" s="39"/>
      <c r="G137" s="37"/>
      <c r="H137" s="37"/>
      <c r="I137" s="38"/>
      <c r="J137" s="39"/>
      <c r="K137" s="38"/>
      <c r="L137" s="39"/>
      <c r="M137" s="37"/>
      <c r="N137" s="60"/>
      <c r="O137" s="60"/>
      <c r="P137" s="40"/>
      <c r="R137" s="13"/>
      <c r="S137" s="13"/>
      <c r="T137" s="13"/>
    </row>
    <row r="138" spans="1:20" s="25" customFormat="1" x14ac:dyDescent="0.25">
      <c r="A138" s="37"/>
      <c r="B138" s="37"/>
      <c r="C138" s="37"/>
      <c r="D138" s="37"/>
      <c r="E138" s="38"/>
      <c r="F138" s="39"/>
      <c r="G138" s="37"/>
      <c r="H138" s="37"/>
      <c r="I138" s="38"/>
      <c r="J138" s="39"/>
      <c r="K138" s="38"/>
      <c r="L138" s="39"/>
      <c r="M138" s="37"/>
      <c r="N138" s="60"/>
      <c r="O138" s="60"/>
      <c r="P138" s="40"/>
      <c r="R138" s="13"/>
      <c r="S138" s="13"/>
      <c r="T138" s="13"/>
    </row>
    <row r="139" spans="1:20" s="25" customFormat="1" x14ac:dyDescent="0.25">
      <c r="A139" s="37"/>
      <c r="B139" s="37"/>
      <c r="C139" s="37"/>
      <c r="D139" s="37"/>
      <c r="E139" s="38"/>
      <c r="F139" s="39"/>
      <c r="G139" s="37"/>
      <c r="H139" s="37"/>
      <c r="I139" s="38"/>
      <c r="J139" s="39"/>
      <c r="K139" s="38"/>
      <c r="L139" s="39"/>
      <c r="M139" s="37"/>
      <c r="N139" s="60"/>
      <c r="O139" s="60"/>
      <c r="P139" s="40"/>
      <c r="R139" s="13"/>
      <c r="S139" s="13"/>
      <c r="T139" s="13"/>
    </row>
    <row r="140" spans="1:20" s="25" customFormat="1" x14ac:dyDescent="0.25">
      <c r="A140" s="37"/>
      <c r="B140" s="37"/>
      <c r="C140" s="37"/>
      <c r="D140" s="37"/>
      <c r="E140" s="38"/>
      <c r="F140" s="39"/>
      <c r="G140" s="37"/>
      <c r="H140" s="37"/>
      <c r="I140" s="38"/>
      <c r="J140" s="39"/>
      <c r="K140" s="38"/>
      <c r="L140" s="39"/>
      <c r="M140" s="37"/>
      <c r="N140" s="60"/>
      <c r="O140" s="60"/>
      <c r="P140" s="40"/>
      <c r="R140" s="13"/>
      <c r="S140" s="13"/>
      <c r="T140" s="13"/>
    </row>
    <row r="141" spans="1:20" s="25" customFormat="1" x14ac:dyDescent="0.25">
      <c r="A141" s="37"/>
      <c r="B141" s="37"/>
      <c r="C141" s="37"/>
      <c r="D141" s="37"/>
      <c r="E141" s="38"/>
      <c r="F141" s="39"/>
      <c r="G141" s="37"/>
      <c r="H141" s="37"/>
      <c r="I141" s="38"/>
      <c r="J141" s="39"/>
      <c r="K141" s="38"/>
      <c r="L141" s="39"/>
      <c r="M141" s="37"/>
      <c r="N141" s="60"/>
      <c r="O141" s="60"/>
      <c r="P141" s="40"/>
      <c r="R141" s="13"/>
      <c r="S141" s="13"/>
      <c r="T141" s="13"/>
    </row>
    <row r="142" spans="1:20" s="25" customFormat="1" x14ac:dyDescent="0.25">
      <c r="A142" s="37"/>
      <c r="B142" s="37"/>
      <c r="C142" s="37"/>
      <c r="D142" s="37"/>
      <c r="E142" s="38"/>
      <c r="F142" s="39"/>
      <c r="G142" s="37"/>
      <c r="H142" s="37"/>
      <c r="I142" s="38"/>
      <c r="J142" s="39"/>
      <c r="K142" s="38"/>
      <c r="L142" s="39"/>
      <c r="M142" s="37"/>
      <c r="N142" s="60"/>
      <c r="O142" s="60"/>
      <c r="P142" s="40"/>
      <c r="R142" s="13"/>
      <c r="S142" s="13"/>
      <c r="T142" s="13"/>
    </row>
    <row r="143" spans="1:20" s="25" customFormat="1" x14ac:dyDescent="0.25">
      <c r="A143" s="37"/>
      <c r="B143" s="37"/>
      <c r="C143" s="37"/>
      <c r="D143" s="37"/>
      <c r="E143" s="38"/>
      <c r="F143" s="39"/>
      <c r="G143" s="37"/>
      <c r="H143" s="37"/>
      <c r="I143" s="38"/>
      <c r="J143" s="39"/>
      <c r="K143" s="38"/>
      <c r="L143" s="39"/>
      <c r="M143" s="37"/>
      <c r="N143" s="60"/>
      <c r="O143" s="60"/>
      <c r="P143" s="40"/>
      <c r="R143" s="13"/>
      <c r="S143" s="13"/>
      <c r="T143" s="13"/>
    </row>
    <row r="144" spans="1:20" s="25" customFormat="1" x14ac:dyDescent="0.25">
      <c r="A144" s="37"/>
      <c r="B144" s="37"/>
      <c r="C144" s="37"/>
      <c r="D144" s="37"/>
      <c r="E144" s="38"/>
      <c r="F144" s="39"/>
      <c r="G144" s="37"/>
      <c r="H144" s="37"/>
      <c r="I144" s="38"/>
      <c r="J144" s="39"/>
      <c r="K144" s="38"/>
      <c r="L144" s="39"/>
      <c r="M144" s="37"/>
      <c r="N144" s="60"/>
      <c r="O144" s="60"/>
      <c r="P144" s="40"/>
      <c r="R144" s="13"/>
      <c r="S144" s="13"/>
      <c r="T144" s="13"/>
    </row>
    <row r="145" spans="1:20" s="25" customFormat="1" x14ac:dyDescent="0.25">
      <c r="A145" s="37"/>
      <c r="B145" s="37"/>
      <c r="C145" s="37"/>
      <c r="D145" s="37"/>
      <c r="E145" s="38"/>
      <c r="F145" s="39"/>
      <c r="G145" s="37"/>
      <c r="H145" s="37"/>
      <c r="I145" s="38"/>
      <c r="J145" s="39"/>
      <c r="K145" s="38"/>
      <c r="L145" s="39"/>
      <c r="M145" s="37"/>
      <c r="N145" s="60"/>
      <c r="O145" s="60"/>
      <c r="P145" s="40"/>
      <c r="R145" s="13"/>
      <c r="S145" s="13"/>
      <c r="T145" s="13"/>
    </row>
    <row r="146" spans="1:20" s="25" customFormat="1" x14ac:dyDescent="0.25">
      <c r="A146" s="37"/>
      <c r="B146" s="37"/>
      <c r="C146" s="37"/>
      <c r="D146" s="37"/>
      <c r="E146" s="38"/>
      <c r="F146" s="39"/>
      <c r="G146" s="37"/>
      <c r="H146" s="37"/>
      <c r="I146" s="38"/>
      <c r="J146" s="39"/>
      <c r="K146" s="38"/>
      <c r="L146" s="39"/>
      <c r="M146" s="37"/>
      <c r="N146" s="60"/>
      <c r="O146" s="60"/>
      <c r="P146" s="40"/>
      <c r="R146" s="13"/>
      <c r="S146" s="13"/>
      <c r="T146" s="13"/>
    </row>
    <row r="147" spans="1:20" s="25" customFormat="1" x14ac:dyDescent="0.25">
      <c r="A147" s="37"/>
      <c r="B147" s="37"/>
      <c r="C147" s="37"/>
      <c r="D147" s="37"/>
      <c r="E147" s="38"/>
      <c r="F147" s="39"/>
      <c r="G147" s="37"/>
      <c r="H147" s="37"/>
      <c r="I147" s="38"/>
      <c r="J147" s="39"/>
      <c r="K147" s="38"/>
      <c r="L147" s="39"/>
      <c r="M147" s="37"/>
      <c r="N147" s="60"/>
      <c r="O147" s="60"/>
      <c r="P147" s="40"/>
      <c r="R147" s="13"/>
      <c r="S147" s="13"/>
      <c r="T147" s="13"/>
    </row>
    <row r="148" spans="1:20" s="25" customFormat="1" x14ac:dyDescent="0.25">
      <c r="A148" s="37"/>
      <c r="B148" s="37"/>
      <c r="C148" s="37"/>
      <c r="D148" s="37"/>
      <c r="E148" s="38"/>
      <c r="F148" s="39"/>
      <c r="G148" s="37"/>
      <c r="H148" s="37"/>
      <c r="I148" s="38"/>
      <c r="J148" s="39"/>
      <c r="K148" s="38"/>
      <c r="L148" s="39"/>
      <c r="M148" s="37"/>
      <c r="N148" s="60"/>
      <c r="O148" s="60"/>
      <c r="P148" s="40"/>
      <c r="R148" s="13"/>
      <c r="S148" s="13"/>
      <c r="T148" s="13"/>
    </row>
    <row r="149" spans="1:20" s="25" customFormat="1" x14ac:dyDescent="0.25">
      <c r="A149" s="37"/>
      <c r="B149" s="37"/>
      <c r="C149" s="37"/>
      <c r="D149" s="37"/>
      <c r="E149" s="38"/>
      <c r="F149" s="39"/>
      <c r="G149" s="37"/>
      <c r="H149" s="37"/>
      <c r="I149" s="38"/>
      <c r="J149" s="39"/>
      <c r="K149" s="38"/>
      <c r="L149" s="39"/>
      <c r="M149" s="37"/>
      <c r="N149" s="60"/>
      <c r="O149" s="60"/>
      <c r="P149" s="40"/>
      <c r="R149" s="13"/>
      <c r="S149" s="13"/>
      <c r="T149" s="13"/>
    </row>
    <row r="150" spans="1:20" s="25" customFormat="1" x14ac:dyDescent="0.25">
      <c r="A150" s="37"/>
      <c r="B150" s="37"/>
      <c r="C150" s="37"/>
      <c r="D150" s="37"/>
      <c r="E150" s="38"/>
      <c r="F150" s="39"/>
      <c r="G150" s="37"/>
      <c r="H150" s="37"/>
      <c r="I150" s="38"/>
      <c r="J150" s="39"/>
      <c r="K150" s="38"/>
      <c r="L150" s="39"/>
      <c r="M150" s="37"/>
      <c r="N150" s="60"/>
      <c r="O150" s="60"/>
      <c r="P150" s="40"/>
      <c r="R150" s="13"/>
      <c r="S150" s="13"/>
      <c r="T150" s="13"/>
    </row>
    <row r="151" spans="1:20" s="25" customFormat="1" x14ac:dyDescent="0.25">
      <c r="A151" s="37"/>
      <c r="B151" s="37"/>
      <c r="C151" s="37"/>
      <c r="D151" s="37"/>
      <c r="E151" s="38"/>
      <c r="F151" s="39"/>
      <c r="G151" s="37"/>
      <c r="H151" s="37"/>
      <c r="I151" s="38"/>
      <c r="J151" s="39"/>
      <c r="K151" s="38"/>
      <c r="L151" s="39"/>
      <c r="M151" s="37"/>
      <c r="N151" s="60"/>
      <c r="O151" s="60"/>
      <c r="P151" s="40"/>
      <c r="R151" s="13"/>
      <c r="S151" s="13"/>
      <c r="T151" s="13"/>
    </row>
    <row r="152" spans="1:20" s="25" customFormat="1" x14ac:dyDescent="0.25">
      <c r="A152" s="37"/>
      <c r="B152" s="37"/>
      <c r="C152" s="37"/>
      <c r="D152" s="37"/>
      <c r="E152" s="38"/>
      <c r="F152" s="39"/>
      <c r="G152" s="37"/>
      <c r="H152" s="37"/>
      <c r="I152" s="38"/>
      <c r="J152" s="39"/>
      <c r="K152" s="38"/>
      <c r="L152" s="39"/>
      <c r="M152" s="37"/>
      <c r="N152" s="60"/>
      <c r="O152" s="60"/>
      <c r="P152" s="40"/>
      <c r="R152" s="13"/>
      <c r="S152" s="13"/>
      <c r="T152" s="13"/>
    </row>
    <row r="153" spans="1:20" s="25" customFormat="1" x14ac:dyDescent="0.25">
      <c r="A153" s="37"/>
      <c r="B153" s="37"/>
      <c r="C153" s="37"/>
      <c r="D153" s="37"/>
      <c r="E153" s="38"/>
      <c r="F153" s="39"/>
      <c r="G153" s="37"/>
      <c r="H153" s="37"/>
      <c r="I153" s="38"/>
      <c r="J153" s="39"/>
      <c r="K153" s="38"/>
      <c r="L153" s="39"/>
      <c r="M153" s="37"/>
      <c r="N153" s="60"/>
      <c r="O153" s="60"/>
      <c r="P153" s="40"/>
      <c r="R153" s="13"/>
      <c r="S153" s="13"/>
      <c r="T153" s="13"/>
    </row>
    <row r="154" spans="1:20" s="25" customFormat="1" x14ac:dyDescent="0.25">
      <c r="A154" s="37"/>
      <c r="B154" s="37"/>
      <c r="C154" s="37"/>
      <c r="D154" s="37"/>
      <c r="E154" s="38"/>
      <c r="F154" s="39"/>
      <c r="G154" s="37"/>
      <c r="H154" s="37"/>
      <c r="I154" s="38"/>
      <c r="J154" s="39"/>
      <c r="K154" s="38"/>
      <c r="L154" s="39"/>
      <c r="M154" s="37"/>
      <c r="N154" s="60"/>
      <c r="O154" s="60"/>
      <c r="P154" s="40"/>
      <c r="R154" s="13"/>
      <c r="S154" s="13"/>
      <c r="T154" s="13"/>
    </row>
    <row r="155" spans="1:20" s="25" customFormat="1" x14ac:dyDescent="0.25">
      <c r="A155" s="37"/>
      <c r="B155" s="37"/>
      <c r="C155" s="37"/>
      <c r="D155" s="37"/>
      <c r="E155" s="38"/>
      <c r="F155" s="39"/>
      <c r="G155" s="37"/>
      <c r="H155" s="37"/>
      <c r="I155" s="38"/>
      <c r="J155" s="39"/>
      <c r="K155" s="38"/>
      <c r="L155" s="39"/>
      <c r="M155" s="37"/>
      <c r="N155" s="60"/>
      <c r="O155" s="60"/>
      <c r="P155" s="40"/>
      <c r="R155" s="13"/>
      <c r="S155" s="13"/>
      <c r="T155" s="13"/>
    </row>
    <row r="156" spans="1:20" s="25" customFormat="1" x14ac:dyDescent="0.25">
      <c r="A156" s="37"/>
      <c r="B156" s="37"/>
      <c r="C156" s="37"/>
      <c r="D156" s="37"/>
      <c r="E156" s="38"/>
      <c r="F156" s="39"/>
      <c r="G156" s="37"/>
      <c r="H156" s="37"/>
      <c r="I156" s="38"/>
      <c r="J156" s="39"/>
      <c r="K156" s="38"/>
      <c r="L156" s="39"/>
      <c r="M156" s="37"/>
      <c r="N156" s="60"/>
      <c r="O156" s="60"/>
      <c r="P156" s="40"/>
      <c r="R156" s="13"/>
      <c r="S156" s="13"/>
      <c r="T156" s="13"/>
    </row>
    <row r="157" spans="1:20" s="25" customFormat="1" x14ac:dyDescent="0.25">
      <c r="A157" s="37"/>
      <c r="B157" s="37"/>
      <c r="C157" s="37"/>
      <c r="D157" s="37"/>
      <c r="E157" s="38"/>
      <c r="F157" s="39"/>
      <c r="G157" s="37"/>
      <c r="H157" s="37"/>
      <c r="I157" s="38"/>
      <c r="J157" s="39"/>
      <c r="K157" s="38"/>
      <c r="L157" s="39"/>
      <c r="M157" s="37"/>
      <c r="N157" s="60"/>
      <c r="O157" s="60"/>
      <c r="P157" s="40"/>
      <c r="R157" s="13"/>
      <c r="S157" s="13"/>
      <c r="T157" s="13"/>
    </row>
    <row r="158" spans="1:20" s="25" customFormat="1" x14ac:dyDescent="0.25">
      <c r="A158" s="37"/>
      <c r="B158" s="37"/>
      <c r="C158" s="37"/>
      <c r="D158" s="37"/>
      <c r="E158" s="38"/>
      <c r="F158" s="39"/>
      <c r="G158" s="37"/>
      <c r="H158" s="37"/>
      <c r="I158" s="38"/>
      <c r="J158" s="39"/>
      <c r="K158" s="38"/>
      <c r="L158" s="39"/>
      <c r="M158" s="37"/>
      <c r="N158" s="60"/>
      <c r="O158" s="60"/>
      <c r="P158" s="40"/>
      <c r="R158" s="13"/>
      <c r="S158" s="13"/>
      <c r="T158" s="13"/>
    </row>
    <row r="159" spans="1:20" s="25" customFormat="1" x14ac:dyDescent="0.25">
      <c r="A159" s="37"/>
      <c r="B159" s="37"/>
      <c r="C159" s="37"/>
      <c r="D159" s="37"/>
      <c r="E159" s="38"/>
      <c r="F159" s="39"/>
      <c r="G159" s="37"/>
      <c r="H159" s="37"/>
      <c r="I159" s="38"/>
      <c r="J159" s="39"/>
      <c r="K159" s="38"/>
      <c r="L159" s="39"/>
      <c r="M159" s="37"/>
      <c r="N159" s="60"/>
      <c r="O159" s="60"/>
      <c r="P159" s="40"/>
      <c r="R159" s="13"/>
      <c r="S159" s="13"/>
      <c r="T159" s="13"/>
    </row>
    <row r="160" spans="1:20" s="25" customFormat="1" x14ac:dyDescent="0.25">
      <c r="A160" s="37"/>
      <c r="B160" s="37"/>
      <c r="C160" s="37"/>
      <c r="D160" s="37"/>
      <c r="E160" s="38"/>
      <c r="F160" s="39"/>
      <c r="G160" s="37"/>
      <c r="H160" s="37"/>
      <c r="I160" s="38"/>
      <c r="J160" s="39"/>
      <c r="K160" s="38"/>
      <c r="L160" s="39"/>
      <c r="M160" s="37"/>
      <c r="N160" s="60"/>
      <c r="O160" s="60"/>
      <c r="P160" s="40"/>
      <c r="R160" s="13"/>
      <c r="S160" s="13"/>
      <c r="T160" s="13"/>
    </row>
    <row r="161" spans="1:20" s="25" customFormat="1" x14ac:dyDescent="0.25">
      <c r="A161" s="37"/>
      <c r="B161" s="37"/>
      <c r="C161" s="37"/>
      <c r="D161" s="37"/>
      <c r="E161" s="38"/>
      <c r="F161" s="39"/>
      <c r="G161" s="37"/>
      <c r="H161" s="37"/>
      <c r="I161" s="38"/>
      <c r="J161" s="39"/>
      <c r="K161" s="38"/>
      <c r="L161" s="39"/>
      <c r="M161" s="37"/>
      <c r="N161" s="60"/>
      <c r="O161" s="60"/>
      <c r="P161" s="40"/>
      <c r="R161" s="13"/>
      <c r="S161" s="13"/>
      <c r="T161" s="13"/>
    </row>
    <row r="162" spans="1:20" s="25" customFormat="1" x14ac:dyDescent="0.25">
      <c r="A162" s="37"/>
      <c r="B162" s="37"/>
      <c r="C162" s="37"/>
      <c r="D162" s="37"/>
      <c r="E162" s="38"/>
      <c r="F162" s="39"/>
      <c r="G162" s="37"/>
      <c r="H162" s="37"/>
      <c r="I162" s="38"/>
      <c r="J162" s="39"/>
      <c r="K162" s="38"/>
      <c r="L162" s="39"/>
      <c r="M162" s="37"/>
      <c r="N162" s="60"/>
      <c r="O162" s="60"/>
      <c r="P162" s="40"/>
      <c r="R162" s="13"/>
      <c r="S162" s="13"/>
      <c r="T162" s="13"/>
    </row>
    <row r="163" spans="1:20" s="25" customFormat="1" x14ac:dyDescent="0.25">
      <c r="A163" s="37"/>
      <c r="B163" s="37"/>
      <c r="C163" s="37"/>
      <c r="D163" s="37"/>
      <c r="E163" s="38"/>
      <c r="F163" s="39"/>
      <c r="G163" s="37"/>
      <c r="H163" s="37"/>
      <c r="I163" s="38"/>
      <c r="J163" s="39"/>
      <c r="K163" s="38"/>
      <c r="L163" s="39"/>
      <c r="M163" s="37"/>
      <c r="N163" s="60"/>
      <c r="O163" s="60"/>
      <c r="P163" s="40"/>
      <c r="R163" s="13"/>
      <c r="S163" s="13"/>
      <c r="T163" s="13"/>
    </row>
    <row r="164" spans="1:20" s="25" customFormat="1" x14ac:dyDescent="0.25">
      <c r="A164" s="37"/>
      <c r="B164" s="37"/>
      <c r="C164" s="37"/>
      <c r="D164" s="37"/>
      <c r="E164" s="38"/>
      <c r="F164" s="39"/>
      <c r="G164" s="37"/>
      <c r="H164" s="37"/>
      <c r="I164" s="38"/>
      <c r="J164" s="39"/>
      <c r="K164" s="38"/>
      <c r="L164" s="39"/>
      <c r="M164" s="37"/>
      <c r="N164" s="60"/>
      <c r="O164" s="60"/>
      <c r="P164" s="40"/>
      <c r="R164" s="13"/>
      <c r="S164" s="13"/>
      <c r="T164" s="13"/>
    </row>
    <row r="165" spans="1:20" s="25" customFormat="1" x14ac:dyDescent="0.25">
      <c r="A165" s="37"/>
      <c r="B165" s="37"/>
      <c r="C165" s="37"/>
      <c r="D165" s="37"/>
      <c r="E165" s="38"/>
      <c r="F165" s="39"/>
      <c r="G165" s="37"/>
      <c r="H165" s="37"/>
      <c r="I165" s="38"/>
      <c r="J165" s="39"/>
      <c r="K165" s="38"/>
      <c r="L165" s="39"/>
      <c r="M165" s="37"/>
      <c r="N165" s="60"/>
      <c r="O165" s="60"/>
      <c r="P165" s="40"/>
      <c r="R165" s="13"/>
      <c r="S165" s="13"/>
      <c r="T165" s="13"/>
    </row>
    <row r="166" spans="1:20" s="25" customFormat="1" x14ac:dyDescent="0.25">
      <c r="A166" s="37"/>
      <c r="B166" s="37"/>
      <c r="C166" s="37"/>
      <c r="D166" s="37"/>
      <c r="E166" s="38"/>
      <c r="F166" s="39"/>
      <c r="G166" s="37"/>
      <c r="H166" s="37"/>
      <c r="I166" s="38"/>
      <c r="J166" s="39"/>
      <c r="K166" s="38"/>
      <c r="L166" s="39"/>
      <c r="M166" s="37"/>
      <c r="N166" s="60"/>
      <c r="O166" s="60"/>
      <c r="P166" s="40"/>
      <c r="R166" s="13"/>
      <c r="S166" s="13"/>
      <c r="T166" s="13"/>
    </row>
    <row r="167" spans="1:20" s="25" customFormat="1" x14ac:dyDescent="0.25">
      <c r="A167" s="37"/>
      <c r="B167" s="37"/>
      <c r="C167" s="37"/>
      <c r="D167" s="37"/>
      <c r="E167" s="38"/>
      <c r="F167" s="39"/>
      <c r="G167" s="37"/>
      <c r="H167" s="37"/>
      <c r="I167" s="38"/>
      <c r="J167" s="39"/>
      <c r="K167" s="38"/>
      <c r="L167" s="39"/>
      <c r="M167" s="37"/>
      <c r="N167" s="60"/>
      <c r="O167" s="60"/>
      <c r="P167" s="40"/>
      <c r="R167" s="13"/>
      <c r="S167" s="13"/>
      <c r="T167" s="13"/>
    </row>
    <row r="168" spans="1:20" s="25" customFormat="1" x14ac:dyDescent="0.25">
      <c r="A168" s="37"/>
      <c r="B168" s="37"/>
      <c r="C168" s="37"/>
      <c r="D168" s="37"/>
      <c r="E168" s="38"/>
      <c r="F168" s="39"/>
      <c r="G168" s="37"/>
      <c r="H168" s="37"/>
      <c r="I168" s="38"/>
      <c r="J168" s="39"/>
      <c r="K168" s="38"/>
      <c r="L168" s="39"/>
      <c r="M168" s="37"/>
      <c r="N168" s="60"/>
      <c r="O168" s="60"/>
      <c r="P168" s="40"/>
      <c r="R168" s="13"/>
      <c r="S168" s="13"/>
      <c r="T168" s="13"/>
    </row>
    <row r="169" spans="1:20" s="25" customFormat="1" x14ac:dyDescent="0.25">
      <c r="A169" s="37"/>
      <c r="B169" s="37"/>
      <c r="C169" s="37"/>
      <c r="D169" s="37"/>
      <c r="E169" s="38"/>
      <c r="F169" s="39"/>
      <c r="G169" s="37"/>
      <c r="H169" s="37"/>
      <c r="I169" s="38"/>
      <c r="J169" s="39"/>
      <c r="K169" s="38"/>
      <c r="L169" s="39"/>
      <c r="M169" s="37"/>
      <c r="N169" s="60"/>
      <c r="O169" s="60"/>
      <c r="P169" s="40"/>
      <c r="R169" s="13"/>
      <c r="S169" s="13"/>
      <c r="T169" s="13"/>
    </row>
    <row r="170" spans="1:20" s="25" customFormat="1" x14ac:dyDescent="0.25">
      <c r="A170" s="37"/>
      <c r="B170" s="37"/>
      <c r="C170" s="37"/>
      <c r="D170" s="37"/>
      <c r="E170" s="38"/>
      <c r="F170" s="39"/>
      <c r="G170" s="37"/>
      <c r="H170" s="37"/>
      <c r="I170" s="38"/>
      <c r="J170" s="39"/>
      <c r="K170" s="38"/>
      <c r="L170" s="39"/>
      <c r="M170" s="37"/>
      <c r="N170" s="60"/>
      <c r="O170" s="60"/>
      <c r="P170" s="40"/>
      <c r="R170" s="13"/>
      <c r="S170" s="13"/>
      <c r="T170" s="13"/>
    </row>
    <row r="171" spans="1:20" s="25" customFormat="1" x14ac:dyDescent="0.25">
      <c r="A171" s="37"/>
      <c r="B171" s="37"/>
      <c r="C171" s="37"/>
      <c r="D171" s="37"/>
      <c r="E171" s="38"/>
      <c r="F171" s="39"/>
      <c r="G171" s="37"/>
      <c r="H171" s="37"/>
      <c r="I171" s="38"/>
      <c r="J171" s="39"/>
      <c r="K171" s="38"/>
      <c r="L171" s="39"/>
      <c r="M171" s="37"/>
      <c r="N171" s="60"/>
      <c r="O171" s="60"/>
      <c r="P171" s="40"/>
      <c r="R171" s="13"/>
      <c r="S171" s="13"/>
      <c r="T171" s="13"/>
    </row>
    <row r="172" spans="1:20" s="25" customFormat="1" x14ac:dyDescent="0.25">
      <c r="A172" s="37"/>
      <c r="B172" s="37"/>
      <c r="C172" s="37"/>
      <c r="D172" s="37"/>
      <c r="E172" s="38"/>
      <c r="F172" s="39"/>
      <c r="G172" s="37"/>
      <c r="H172" s="37"/>
      <c r="I172" s="38"/>
      <c r="J172" s="39"/>
      <c r="K172" s="38"/>
      <c r="L172" s="39"/>
      <c r="M172" s="37"/>
      <c r="N172" s="60"/>
      <c r="O172" s="60"/>
      <c r="P172" s="40"/>
      <c r="R172" s="13"/>
      <c r="S172" s="13"/>
      <c r="T172" s="13"/>
    </row>
    <row r="173" spans="1:20" s="25" customFormat="1" x14ac:dyDescent="0.25">
      <c r="A173" s="37"/>
      <c r="B173" s="37"/>
      <c r="C173" s="37"/>
      <c r="D173" s="37"/>
      <c r="E173" s="38"/>
      <c r="F173" s="39"/>
      <c r="G173" s="37"/>
      <c r="H173" s="37"/>
      <c r="I173" s="38"/>
      <c r="J173" s="39"/>
      <c r="K173" s="38"/>
      <c r="L173" s="39"/>
      <c r="M173" s="37"/>
      <c r="N173" s="60"/>
      <c r="O173" s="60"/>
      <c r="P173" s="40"/>
      <c r="R173" s="13"/>
      <c r="S173" s="13"/>
      <c r="T173" s="13"/>
    </row>
    <row r="174" spans="1:20" s="25" customFormat="1" x14ac:dyDescent="0.25">
      <c r="A174" s="37"/>
      <c r="B174" s="37"/>
      <c r="C174" s="37"/>
      <c r="D174" s="37"/>
      <c r="E174" s="38"/>
      <c r="F174" s="39"/>
      <c r="G174" s="37"/>
      <c r="H174" s="37"/>
      <c r="I174" s="38"/>
      <c r="J174" s="39"/>
      <c r="K174" s="38"/>
      <c r="L174" s="39"/>
      <c r="M174" s="37"/>
      <c r="N174" s="60"/>
      <c r="O174" s="60"/>
      <c r="P174" s="40"/>
      <c r="R174" s="13"/>
      <c r="S174" s="13"/>
      <c r="T174" s="13"/>
    </row>
    <row r="175" spans="1:20" s="25" customFormat="1" x14ac:dyDescent="0.25">
      <c r="A175" s="37"/>
      <c r="B175" s="37"/>
      <c r="C175" s="37"/>
      <c r="D175" s="37"/>
      <c r="E175" s="38"/>
      <c r="F175" s="39"/>
      <c r="G175" s="37"/>
      <c r="H175" s="37"/>
      <c r="I175" s="38"/>
      <c r="J175" s="39"/>
      <c r="K175" s="38"/>
      <c r="L175" s="39"/>
      <c r="M175" s="37"/>
      <c r="N175" s="60"/>
      <c r="O175" s="60"/>
      <c r="P175" s="40"/>
      <c r="R175" s="13"/>
      <c r="S175" s="13"/>
      <c r="T175" s="13"/>
    </row>
    <row r="176" spans="1:20" s="25" customFormat="1" x14ac:dyDescent="0.25">
      <c r="A176" s="37"/>
      <c r="B176" s="37"/>
      <c r="C176" s="37"/>
      <c r="D176" s="37"/>
      <c r="E176" s="38"/>
      <c r="F176" s="39"/>
      <c r="G176" s="37"/>
      <c r="H176" s="37"/>
      <c r="I176" s="38"/>
      <c r="J176" s="39"/>
      <c r="K176" s="38"/>
      <c r="L176" s="39"/>
      <c r="M176" s="37"/>
      <c r="N176" s="60"/>
      <c r="O176" s="60"/>
      <c r="P176" s="40"/>
      <c r="R176" s="13"/>
      <c r="S176" s="13"/>
      <c r="T176" s="13"/>
    </row>
    <row r="177" spans="1:20" s="25" customFormat="1" x14ac:dyDescent="0.25">
      <c r="A177" s="37"/>
      <c r="B177" s="37"/>
      <c r="C177" s="37"/>
      <c r="D177" s="37"/>
      <c r="E177" s="38"/>
      <c r="F177" s="39"/>
      <c r="G177" s="37"/>
      <c r="H177" s="37"/>
      <c r="I177" s="38"/>
      <c r="J177" s="39"/>
      <c r="K177" s="38"/>
      <c r="L177" s="39"/>
      <c r="M177" s="37"/>
      <c r="N177" s="60"/>
      <c r="O177" s="60"/>
      <c r="P177" s="40"/>
      <c r="R177" s="13"/>
      <c r="S177" s="13"/>
      <c r="T177" s="13"/>
    </row>
    <row r="178" spans="1:20" s="25" customFormat="1" x14ac:dyDescent="0.25">
      <c r="A178" s="37"/>
      <c r="B178" s="37"/>
      <c r="C178" s="37"/>
      <c r="D178" s="37"/>
      <c r="E178" s="38"/>
      <c r="F178" s="39"/>
      <c r="G178" s="37"/>
      <c r="H178" s="37"/>
      <c r="I178" s="38"/>
      <c r="J178" s="39"/>
      <c r="K178" s="38"/>
      <c r="L178" s="39"/>
      <c r="M178" s="37"/>
      <c r="N178" s="60"/>
      <c r="O178" s="60"/>
      <c r="P178" s="40"/>
      <c r="R178" s="13"/>
      <c r="S178" s="13"/>
      <c r="T178" s="13"/>
    </row>
    <row r="179" spans="1:20" s="25" customFormat="1" x14ac:dyDescent="0.25">
      <c r="A179" s="37"/>
      <c r="B179" s="37"/>
      <c r="C179" s="37"/>
      <c r="D179" s="37"/>
      <c r="E179" s="38"/>
      <c r="F179" s="39"/>
      <c r="G179" s="37"/>
      <c r="H179" s="37"/>
      <c r="I179" s="38"/>
      <c r="J179" s="39"/>
      <c r="K179" s="38"/>
      <c r="L179" s="39"/>
      <c r="M179" s="37"/>
      <c r="N179" s="60"/>
      <c r="O179" s="60"/>
      <c r="P179" s="40"/>
      <c r="R179" s="13"/>
      <c r="S179" s="13"/>
      <c r="T179" s="13"/>
    </row>
    <row r="180" spans="1:20" s="25" customFormat="1" x14ac:dyDescent="0.25">
      <c r="A180" s="37"/>
      <c r="B180" s="37"/>
      <c r="C180" s="37"/>
      <c r="D180" s="37"/>
      <c r="E180" s="38"/>
      <c r="F180" s="39"/>
      <c r="G180" s="37"/>
      <c r="H180" s="37"/>
      <c r="I180" s="38"/>
      <c r="J180" s="39"/>
      <c r="K180" s="38"/>
      <c r="L180" s="39"/>
      <c r="M180" s="37"/>
      <c r="N180" s="60"/>
      <c r="O180" s="60"/>
      <c r="P180" s="40"/>
      <c r="R180" s="13"/>
      <c r="S180" s="13"/>
      <c r="T180" s="13"/>
    </row>
    <row r="181" spans="1:20" s="25" customFormat="1" x14ac:dyDescent="0.25">
      <c r="A181" s="37"/>
      <c r="B181" s="37"/>
      <c r="C181" s="37"/>
      <c r="D181" s="37"/>
      <c r="E181" s="38"/>
      <c r="F181" s="39"/>
      <c r="G181" s="37"/>
      <c r="H181" s="37"/>
      <c r="I181" s="38"/>
      <c r="J181" s="39"/>
      <c r="K181" s="38"/>
      <c r="L181" s="39"/>
      <c r="M181" s="37"/>
      <c r="N181" s="60"/>
      <c r="O181" s="60"/>
      <c r="P181" s="40"/>
      <c r="R181" s="13"/>
      <c r="S181" s="13"/>
      <c r="T181" s="13"/>
    </row>
    <row r="182" spans="1:20" s="25" customFormat="1" x14ac:dyDescent="0.25">
      <c r="A182" s="37"/>
      <c r="B182" s="37"/>
      <c r="C182" s="37"/>
      <c r="D182" s="37"/>
      <c r="E182" s="38"/>
      <c r="F182" s="39"/>
      <c r="G182" s="37"/>
      <c r="H182" s="37"/>
      <c r="I182" s="38"/>
      <c r="J182" s="39"/>
      <c r="K182" s="38"/>
      <c r="L182" s="39"/>
      <c r="M182" s="37"/>
      <c r="N182" s="60"/>
      <c r="O182" s="60"/>
      <c r="P182" s="40"/>
      <c r="R182" s="13"/>
      <c r="S182" s="13"/>
      <c r="T182" s="13"/>
    </row>
    <row r="183" spans="1:20" s="25" customFormat="1" x14ac:dyDescent="0.25">
      <c r="A183" s="37"/>
      <c r="B183" s="37"/>
      <c r="C183" s="37"/>
      <c r="D183" s="37"/>
      <c r="E183" s="38"/>
      <c r="F183" s="39"/>
      <c r="G183" s="37"/>
      <c r="H183" s="37"/>
      <c r="I183" s="38"/>
      <c r="J183" s="39"/>
      <c r="K183" s="38"/>
      <c r="L183" s="39"/>
      <c r="M183" s="37"/>
      <c r="N183" s="60"/>
      <c r="O183" s="60"/>
      <c r="P183" s="40"/>
      <c r="R183" s="13"/>
      <c r="S183" s="13"/>
      <c r="T183" s="13"/>
    </row>
    <row r="184" spans="1:20" s="25" customFormat="1" x14ac:dyDescent="0.25">
      <c r="A184" s="37"/>
      <c r="B184" s="37"/>
      <c r="C184" s="37"/>
      <c r="D184" s="37"/>
      <c r="E184" s="38"/>
      <c r="F184" s="39"/>
      <c r="G184" s="37"/>
      <c r="H184" s="37"/>
      <c r="I184" s="38"/>
      <c r="J184" s="39"/>
      <c r="K184" s="38"/>
      <c r="L184" s="39"/>
      <c r="M184" s="37"/>
      <c r="N184" s="60"/>
      <c r="O184" s="60"/>
      <c r="P184" s="40"/>
      <c r="R184" s="13"/>
      <c r="S184" s="13"/>
      <c r="T184" s="13"/>
    </row>
    <row r="185" spans="1:20" s="25" customFormat="1" x14ac:dyDescent="0.25">
      <c r="A185" s="37"/>
      <c r="B185" s="37"/>
      <c r="C185" s="37"/>
      <c r="D185" s="37"/>
      <c r="E185" s="38"/>
      <c r="F185" s="39"/>
      <c r="G185" s="37"/>
      <c r="H185" s="37"/>
      <c r="I185" s="38"/>
      <c r="J185" s="39"/>
      <c r="K185" s="38"/>
      <c r="L185" s="39"/>
      <c r="M185" s="37"/>
      <c r="N185" s="60"/>
      <c r="O185" s="60"/>
      <c r="P185" s="40"/>
      <c r="R185" s="13"/>
      <c r="S185" s="13"/>
      <c r="T185" s="13"/>
    </row>
    <row r="186" spans="1:20" s="25" customFormat="1" x14ac:dyDescent="0.25">
      <c r="A186" s="37"/>
      <c r="B186" s="37"/>
      <c r="C186" s="37"/>
      <c r="D186" s="37"/>
      <c r="E186" s="38"/>
      <c r="F186" s="39"/>
      <c r="G186" s="37"/>
      <c r="H186" s="37"/>
      <c r="I186" s="38"/>
      <c r="J186" s="39"/>
      <c r="K186" s="38"/>
      <c r="L186" s="39"/>
      <c r="M186" s="37"/>
      <c r="N186" s="60"/>
      <c r="O186" s="60"/>
      <c r="P186" s="40"/>
      <c r="R186" s="13"/>
      <c r="S186" s="13"/>
      <c r="T186" s="13"/>
    </row>
    <row r="187" spans="1:20" s="25" customFormat="1" x14ac:dyDescent="0.25">
      <c r="A187" s="37"/>
      <c r="B187" s="37"/>
      <c r="C187" s="37"/>
      <c r="D187" s="37"/>
      <c r="E187" s="38"/>
      <c r="F187" s="39"/>
      <c r="G187" s="37"/>
      <c r="H187" s="37"/>
      <c r="I187" s="38"/>
      <c r="J187" s="39"/>
      <c r="K187" s="38"/>
      <c r="L187" s="39"/>
      <c r="M187" s="37"/>
      <c r="N187" s="60"/>
      <c r="O187" s="60"/>
      <c r="P187" s="40"/>
      <c r="R187" s="13"/>
      <c r="S187" s="13"/>
      <c r="T187" s="13"/>
    </row>
    <row r="188" spans="1:20" s="25" customFormat="1" x14ac:dyDescent="0.25">
      <c r="A188" s="37"/>
      <c r="B188" s="37"/>
      <c r="C188" s="37"/>
      <c r="D188" s="37"/>
      <c r="E188" s="38"/>
      <c r="F188" s="39"/>
      <c r="G188" s="37"/>
      <c r="H188" s="37"/>
      <c r="I188" s="38"/>
      <c r="J188" s="39"/>
      <c r="K188" s="38"/>
      <c r="L188" s="39"/>
      <c r="M188" s="37"/>
      <c r="N188" s="60"/>
      <c r="O188" s="60"/>
      <c r="P188" s="40"/>
      <c r="R188" s="13"/>
      <c r="S188" s="13"/>
      <c r="T188" s="13"/>
    </row>
    <row r="189" spans="1:20" s="25" customFormat="1" x14ac:dyDescent="0.25">
      <c r="A189" s="37"/>
      <c r="B189" s="37"/>
      <c r="C189" s="37"/>
      <c r="D189" s="37"/>
      <c r="E189" s="38"/>
      <c r="F189" s="39"/>
      <c r="G189" s="37"/>
      <c r="H189" s="37"/>
      <c r="I189" s="38"/>
      <c r="J189" s="39"/>
      <c r="K189" s="38"/>
      <c r="L189" s="39"/>
      <c r="M189" s="37"/>
      <c r="N189" s="60"/>
      <c r="O189" s="60"/>
      <c r="P189" s="40"/>
      <c r="R189" s="13"/>
      <c r="S189" s="13"/>
      <c r="T189" s="13"/>
    </row>
    <row r="190" spans="1:20" s="25" customFormat="1" x14ac:dyDescent="0.25">
      <c r="A190" s="37"/>
      <c r="B190" s="37"/>
      <c r="C190" s="37"/>
      <c r="D190" s="37"/>
      <c r="E190" s="38"/>
      <c r="F190" s="39"/>
      <c r="G190" s="37"/>
      <c r="H190" s="37"/>
      <c r="I190" s="38"/>
      <c r="J190" s="39"/>
      <c r="K190" s="38"/>
      <c r="L190" s="39"/>
      <c r="M190" s="37"/>
      <c r="N190" s="60"/>
      <c r="O190" s="60"/>
      <c r="P190" s="40"/>
      <c r="R190" s="13"/>
      <c r="S190" s="13"/>
      <c r="T190" s="13"/>
    </row>
    <row r="191" spans="1:20" s="25" customFormat="1" x14ac:dyDescent="0.25">
      <c r="A191" s="37"/>
      <c r="B191" s="37"/>
      <c r="C191" s="37"/>
      <c r="D191" s="37"/>
      <c r="E191" s="38"/>
      <c r="F191" s="39"/>
      <c r="G191" s="37"/>
      <c r="H191" s="37"/>
      <c r="I191" s="38"/>
      <c r="J191" s="39"/>
      <c r="K191" s="38"/>
      <c r="L191" s="39"/>
      <c r="M191" s="37"/>
      <c r="N191" s="60"/>
      <c r="O191" s="60"/>
      <c r="P191" s="40"/>
      <c r="R191" s="13"/>
      <c r="S191" s="13"/>
      <c r="T191" s="13"/>
    </row>
    <row r="192" spans="1:20" s="25" customFormat="1" x14ac:dyDescent="0.25">
      <c r="A192" s="37"/>
      <c r="B192" s="37"/>
      <c r="C192" s="37"/>
      <c r="D192" s="37"/>
      <c r="E192" s="38"/>
      <c r="F192" s="39"/>
      <c r="G192" s="37"/>
      <c r="H192" s="37"/>
      <c r="I192" s="38"/>
      <c r="J192" s="39"/>
      <c r="K192" s="38"/>
      <c r="L192" s="39"/>
      <c r="M192" s="37"/>
      <c r="N192" s="60"/>
      <c r="O192" s="60"/>
      <c r="P192" s="40"/>
      <c r="R192" s="13"/>
      <c r="S192" s="13"/>
      <c r="T192" s="13"/>
    </row>
    <row r="193" spans="1:20" s="25" customFormat="1" x14ac:dyDescent="0.25">
      <c r="A193" s="37"/>
      <c r="B193" s="37"/>
      <c r="C193" s="37"/>
      <c r="D193" s="37"/>
      <c r="E193" s="38"/>
      <c r="F193" s="39"/>
      <c r="G193" s="37"/>
      <c r="H193" s="37"/>
      <c r="I193" s="38"/>
      <c r="J193" s="39"/>
      <c r="K193" s="38"/>
      <c r="L193" s="39"/>
      <c r="M193" s="37"/>
      <c r="N193" s="60"/>
      <c r="O193" s="60"/>
      <c r="P193" s="40"/>
      <c r="R193" s="13"/>
      <c r="S193" s="13"/>
      <c r="T193" s="13"/>
    </row>
    <row r="194" spans="1:20" s="25" customFormat="1" x14ac:dyDescent="0.25">
      <c r="A194" s="37"/>
      <c r="B194" s="37"/>
      <c r="C194" s="37"/>
      <c r="D194" s="37"/>
      <c r="E194" s="38"/>
      <c r="F194" s="39"/>
      <c r="G194" s="37"/>
      <c r="H194" s="37"/>
      <c r="I194" s="38"/>
      <c r="J194" s="39"/>
      <c r="K194" s="38"/>
      <c r="L194" s="39"/>
      <c r="M194" s="37"/>
      <c r="N194" s="60"/>
      <c r="O194" s="60"/>
      <c r="P194" s="40"/>
      <c r="R194" s="13"/>
      <c r="S194" s="13"/>
      <c r="T194" s="13"/>
    </row>
    <row r="195" spans="1:20" s="25" customFormat="1" x14ac:dyDescent="0.25">
      <c r="A195" s="37"/>
      <c r="B195" s="37"/>
      <c r="C195" s="37"/>
      <c r="D195" s="37"/>
      <c r="E195" s="38"/>
      <c r="F195" s="39"/>
      <c r="G195" s="37"/>
      <c r="H195" s="37"/>
      <c r="I195" s="38"/>
      <c r="J195" s="39"/>
      <c r="K195" s="38"/>
      <c r="L195" s="39"/>
      <c r="M195" s="37"/>
      <c r="N195" s="60"/>
      <c r="O195" s="60"/>
      <c r="P195" s="40"/>
      <c r="R195" s="13"/>
      <c r="S195" s="13"/>
      <c r="T195" s="13"/>
    </row>
    <row r="196" spans="1:20" s="25" customFormat="1" x14ac:dyDescent="0.25">
      <c r="A196" s="37"/>
      <c r="B196" s="37"/>
      <c r="C196" s="37"/>
      <c r="D196" s="37"/>
      <c r="E196" s="38"/>
      <c r="F196" s="39"/>
      <c r="G196" s="37"/>
      <c r="H196" s="37"/>
      <c r="I196" s="38"/>
      <c r="J196" s="39"/>
      <c r="K196" s="38"/>
      <c r="L196" s="39"/>
      <c r="M196" s="37"/>
      <c r="N196" s="60"/>
      <c r="O196" s="60"/>
      <c r="P196" s="40"/>
      <c r="R196" s="13"/>
      <c r="S196" s="13"/>
      <c r="T196" s="13"/>
    </row>
    <row r="197" spans="1:20" s="25" customFormat="1" x14ac:dyDescent="0.25">
      <c r="A197" s="37"/>
      <c r="B197" s="37"/>
      <c r="C197" s="37"/>
      <c r="D197" s="37"/>
      <c r="E197" s="38"/>
      <c r="F197" s="39"/>
      <c r="G197" s="37"/>
      <c r="H197" s="37"/>
      <c r="I197" s="38"/>
      <c r="J197" s="39"/>
      <c r="K197" s="38"/>
      <c r="L197" s="39"/>
      <c r="M197" s="37"/>
      <c r="N197" s="60"/>
      <c r="O197" s="60"/>
      <c r="P197" s="40"/>
      <c r="R197" s="13"/>
      <c r="S197" s="13"/>
      <c r="T197" s="13"/>
    </row>
    <row r="198" spans="1:20" s="25" customFormat="1" x14ac:dyDescent="0.25">
      <c r="A198" s="37"/>
      <c r="B198" s="37"/>
      <c r="C198" s="37"/>
      <c r="D198" s="37"/>
      <c r="E198" s="38"/>
      <c r="F198" s="39"/>
      <c r="G198" s="37"/>
      <c r="H198" s="37"/>
      <c r="I198" s="38"/>
      <c r="J198" s="39"/>
      <c r="K198" s="38"/>
      <c r="L198" s="39"/>
      <c r="M198" s="37"/>
      <c r="N198" s="60"/>
      <c r="O198" s="60"/>
      <c r="P198" s="40"/>
      <c r="R198" s="13"/>
      <c r="S198" s="13"/>
      <c r="T198" s="13"/>
    </row>
    <row r="199" spans="1:20" s="25" customFormat="1" x14ac:dyDescent="0.25">
      <c r="A199" s="37"/>
      <c r="B199" s="37"/>
      <c r="C199" s="37"/>
      <c r="D199" s="37"/>
      <c r="E199" s="38"/>
      <c r="F199" s="39"/>
      <c r="G199" s="37"/>
      <c r="H199" s="37"/>
      <c r="I199" s="38"/>
      <c r="J199" s="39"/>
      <c r="K199" s="38"/>
      <c r="L199" s="39"/>
      <c r="M199" s="37"/>
      <c r="N199" s="60"/>
      <c r="O199" s="60"/>
      <c r="P199" s="40"/>
      <c r="R199" s="13"/>
      <c r="S199" s="13"/>
      <c r="T199" s="13"/>
    </row>
    <row r="200" spans="1:20" s="25" customFormat="1" x14ac:dyDescent="0.25">
      <c r="A200" s="37"/>
      <c r="B200" s="37"/>
      <c r="C200" s="37"/>
      <c r="D200" s="37"/>
      <c r="E200" s="38"/>
      <c r="F200" s="39"/>
      <c r="G200" s="37"/>
      <c r="H200" s="37"/>
      <c r="I200" s="38"/>
      <c r="J200" s="39"/>
      <c r="K200" s="38"/>
      <c r="L200" s="39"/>
      <c r="M200" s="37"/>
      <c r="N200" s="60"/>
      <c r="O200" s="60"/>
      <c r="P200" s="40"/>
      <c r="R200" s="13"/>
      <c r="S200" s="13"/>
      <c r="T200" s="13"/>
    </row>
    <row r="201" spans="1:20" s="25" customFormat="1" x14ac:dyDescent="0.25">
      <c r="A201" s="37"/>
      <c r="B201" s="37"/>
      <c r="C201" s="37"/>
      <c r="D201" s="37"/>
      <c r="E201" s="38"/>
      <c r="F201" s="39"/>
      <c r="G201" s="37"/>
      <c r="H201" s="37"/>
      <c r="I201" s="38"/>
      <c r="J201" s="39"/>
      <c r="K201" s="38"/>
      <c r="L201" s="39"/>
      <c r="M201" s="37"/>
      <c r="N201" s="60"/>
      <c r="O201" s="60"/>
      <c r="P201" s="40"/>
      <c r="R201" s="13"/>
      <c r="S201" s="13"/>
      <c r="T201" s="13"/>
    </row>
    <row r="202" spans="1:20" s="25" customFormat="1" x14ac:dyDescent="0.25">
      <c r="A202" s="37"/>
      <c r="B202" s="37"/>
      <c r="C202" s="37"/>
      <c r="D202" s="37"/>
      <c r="E202" s="38"/>
      <c r="F202" s="39"/>
      <c r="G202" s="37"/>
      <c r="H202" s="37"/>
      <c r="I202" s="38"/>
      <c r="J202" s="39"/>
      <c r="K202" s="38"/>
      <c r="L202" s="39"/>
      <c r="M202" s="37"/>
      <c r="N202" s="60"/>
      <c r="O202" s="60"/>
      <c r="P202" s="40"/>
      <c r="R202" s="13"/>
      <c r="S202" s="13"/>
      <c r="T202" s="13"/>
    </row>
    <row r="203" spans="1:20" s="25" customFormat="1" x14ac:dyDescent="0.25">
      <c r="A203" s="37"/>
      <c r="B203" s="37"/>
      <c r="C203" s="37"/>
      <c r="D203" s="37"/>
      <c r="E203" s="38"/>
      <c r="F203" s="39"/>
      <c r="G203" s="37"/>
      <c r="H203" s="37"/>
      <c r="I203" s="38"/>
      <c r="J203" s="39"/>
      <c r="K203" s="38"/>
      <c r="L203" s="39"/>
      <c r="M203" s="37"/>
      <c r="N203" s="60"/>
      <c r="O203" s="60"/>
      <c r="P203" s="40"/>
      <c r="R203" s="13"/>
      <c r="S203" s="13"/>
      <c r="T203" s="13"/>
    </row>
    <row r="204" spans="1:20" s="25" customFormat="1" x14ac:dyDescent="0.25">
      <c r="A204" s="37"/>
      <c r="B204" s="37"/>
      <c r="C204" s="37"/>
      <c r="D204" s="37"/>
      <c r="E204" s="38"/>
      <c r="F204" s="39"/>
      <c r="G204" s="37"/>
      <c r="H204" s="37"/>
      <c r="I204" s="38"/>
      <c r="J204" s="39"/>
      <c r="K204" s="38"/>
      <c r="L204" s="39"/>
      <c r="M204" s="37"/>
      <c r="N204" s="60"/>
      <c r="O204" s="60"/>
      <c r="P204" s="40"/>
      <c r="R204" s="13"/>
      <c r="S204" s="13"/>
      <c r="T204" s="13"/>
    </row>
    <row r="205" spans="1:20" s="25" customFormat="1" x14ac:dyDescent="0.25">
      <c r="A205" s="37"/>
      <c r="B205" s="37"/>
      <c r="C205" s="37"/>
      <c r="D205" s="37"/>
      <c r="E205" s="38"/>
      <c r="F205" s="39"/>
      <c r="G205" s="37"/>
      <c r="H205" s="37"/>
      <c r="I205" s="38"/>
      <c r="J205" s="39"/>
      <c r="K205" s="38"/>
      <c r="L205" s="39"/>
      <c r="M205" s="37"/>
      <c r="N205" s="60"/>
      <c r="O205" s="60"/>
      <c r="P205" s="40"/>
      <c r="R205" s="13"/>
      <c r="S205" s="13"/>
      <c r="T205" s="13"/>
    </row>
    <row r="206" spans="1:20" s="25" customFormat="1" x14ac:dyDescent="0.25">
      <c r="A206" s="37"/>
      <c r="B206" s="37"/>
      <c r="C206" s="37"/>
      <c r="D206" s="37"/>
      <c r="E206" s="38"/>
      <c r="F206" s="39"/>
      <c r="G206" s="37"/>
      <c r="H206" s="37"/>
      <c r="I206" s="38"/>
      <c r="J206" s="39"/>
      <c r="K206" s="38"/>
      <c r="L206" s="39"/>
      <c r="M206" s="37"/>
      <c r="N206" s="60"/>
      <c r="O206" s="60"/>
      <c r="P206" s="40"/>
      <c r="R206" s="13"/>
      <c r="S206" s="13"/>
      <c r="T206" s="13"/>
    </row>
    <row r="207" spans="1:20" s="25" customFormat="1" x14ac:dyDescent="0.25">
      <c r="A207" s="37"/>
      <c r="B207" s="37"/>
      <c r="C207" s="37"/>
      <c r="D207" s="37"/>
      <c r="E207" s="38"/>
      <c r="F207" s="39"/>
      <c r="G207" s="37"/>
      <c r="H207" s="37"/>
      <c r="I207" s="38"/>
      <c r="J207" s="39"/>
      <c r="K207" s="38"/>
      <c r="L207" s="39"/>
      <c r="M207" s="37"/>
      <c r="N207" s="60"/>
      <c r="O207" s="60"/>
      <c r="P207" s="40"/>
      <c r="R207" s="13"/>
      <c r="S207" s="13"/>
      <c r="T207" s="13"/>
    </row>
    <row r="208" spans="1:20" s="25" customFormat="1" x14ac:dyDescent="0.25">
      <c r="A208" s="37"/>
      <c r="B208" s="37"/>
      <c r="C208" s="37"/>
      <c r="D208" s="37"/>
      <c r="E208" s="38"/>
      <c r="F208" s="39"/>
      <c r="G208" s="37"/>
      <c r="H208" s="37"/>
      <c r="I208" s="38"/>
      <c r="J208" s="39"/>
      <c r="K208" s="38"/>
      <c r="L208" s="39"/>
      <c r="M208" s="37"/>
      <c r="N208" s="60"/>
      <c r="O208" s="60"/>
      <c r="P208" s="40"/>
      <c r="R208" s="13"/>
      <c r="S208" s="13"/>
      <c r="T208" s="13"/>
    </row>
    <row r="209" spans="1:20" s="25" customFormat="1" x14ac:dyDescent="0.25">
      <c r="A209" s="37"/>
      <c r="B209" s="37"/>
      <c r="C209" s="37"/>
      <c r="D209" s="37"/>
      <c r="E209" s="38"/>
      <c r="F209" s="39"/>
      <c r="G209" s="37"/>
      <c r="H209" s="37"/>
      <c r="I209" s="38"/>
      <c r="J209" s="39"/>
      <c r="K209" s="38"/>
      <c r="L209" s="39"/>
      <c r="M209" s="37"/>
      <c r="N209" s="60"/>
      <c r="O209" s="60"/>
      <c r="P209" s="40"/>
      <c r="R209" s="13"/>
      <c r="S209" s="13"/>
      <c r="T209" s="13"/>
    </row>
    <row r="210" spans="1:20" s="25" customFormat="1" x14ac:dyDescent="0.25">
      <c r="A210" s="37"/>
      <c r="B210" s="37"/>
      <c r="C210" s="37"/>
      <c r="D210" s="37"/>
      <c r="E210" s="38"/>
      <c r="F210" s="39"/>
      <c r="G210" s="37"/>
      <c r="H210" s="37"/>
      <c r="I210" s="38"/>
      <c r="J210" s="39"/>
      <c r="K210" s="38"/>
      <c r="L210" s="39"/>
      <c r="M210" s="37"/>
      <c r="N210" s="60"/>
      <c r="O210" s="60"/>
      <c r="P210" s="40"/>
      <c r="R210" s="13"/>
      <c r="S210" s="13"/>
      <c r="T210" s="13"/>
    </row>
    <row r="211" spans="1:20" s="25" customFormat="1" x14ac:dyDescent="0.25">
      <c r="A211" s="37"/>
      <c r="B211" s="37"/>
      <c r="C211" s="37"/>
      <c r="D211" s="37"/>
      <c r="E211" s="38"/>
      <c r="F211" s="39"/>
      <c r="G211" s="37"/>
      <c r="H211" s="37"/>
      <c r="I211" s="38"/>
      <c r="J211" s="39"/>
      <c r="K211" s="38"/>
      <c r="L211" s="39"/>
      <c r="M211" s="37"/>
      <c r="N211" s="60"/>
      <c r="O211" s="60"/>
      <c r="P211" s="40"/>
      <c r="R211" s="13"/>
      <c r="S211" s="13"/>
      <c r="T211" s="13"/>
    </row>
    <row r="212" spans="1:20" s="25" customFormat="1" x14ac:dyDescent="0.25">
      <c r="A212" s="37"/>
      <c r="B212" s="37"/>
      <c r="C212" s="37"/>
      <c r="D212" s="37"/>
      <c r="E212" s="38"/>
      <c r="F212" s="39"/>
      <c r="G212" s="37"/>
      <c r="H212" s="37"/>
      <c r="I212" s="38"/>
      <c r="J212" s="39"/>
      <c r="K212" s="38"/>
      <c r="L212" s="39"/>
      <c r="M212" s="37"/>
      <c r="N212" s="60"/>
      <c r="O212" s="60"/>
      <c r="P212" s="40"/>
      <c r="R212" s="13"/>
      <c r="S212" s="13"/>
      <c r="T212" s="13"/>
    </row>
    <row r="213" spans="1:20" s="25" customFormat="1" x14ac:dyDescent="0.25">
      <c r="A213" s="37"/>
      <c r="B213" s="37"/>
      <c r="C213" s="37"/>
      <c r="D213" s="37"/>
      <c r="E213" s="38"/>
      <c r="F213" s="39"/>
      <c r="G213" s="37"/>
      <c r="H213" s="37"/>
      <c r="I213" s="38"/>
      <c r="J213" s="39"/>
      <c r="K213" s="38"/>
      <c r="L213" s="39"/>
      <c r="M213" s="37"/>
      <c r="N213" s="60"/>
      <c r="O213" s="60"/>
      <c r="P213" s="40"/>
      <c r="R213" s="13"/>
      <c r="S213" s="13"/>
      <c r="T213" s="13"/>
    </row>
    <row r="214" spans="1:20" s="25" customFormat="1" x14ac:dyDescent="0.25">
      <c r="A214" s="37"/>
      <c r="B214" s="37"/>
      <c r="C214" s="37"/>
      <c r="D214" s="37"/>
      <c r="E214" s="38"/>
      <c r="F214" s="39"/>
      <c r="G214" s="37"/>
      <c r="H214" s="37"/>
      <c r="I214" s="38"/>
      <c r="J214" s="39"/>
      <c r="K214" s="38"/>
      <c r="L214" s="39"/>
      <c r="M214" s="37"/>
      <c r="N214" s="60"/>
      <c r="O214" s="60"/>
      <c r="P214" s="40"/>
      <c r="R214" s="13"/>
      <c r="S214" s="13"/>
      <c r="T214" s="13"/>
    </row>
    <row r="215" spans="1:20" s="25" customFormat="1" x14ac:dyDescent="0.25">
      <c r="A215" s="37"/>
      <c r="B215" s="37"/>
      <c r="C215" s="37"/>
      <c r="D215" s="37"/>
      <c r="E215" s="38"/>
      <c r="F215" s="39"/>
      <c r="G215" s="37"/>
      <c r="H215" s="37"/>
      <c r="I215" s="38"/>
      <c r="J215" s="39"/>
      <c r="K215" s="38"/>
      <c r="L215" s="39"/>
      <c r="M215" s="37"/>
      <c r="N215" s="60"/>
      <c r="O215" s="60"/>
      <c r="P215" s="40"/>
      <c r="R215" s="13"/>
      <c r="S215" s="13"/>
      <c r="T215" s="13"/>
    </row>
    <row r="216" spans="1:20" s="25" customFormat="1" x14ac:dyDescent="0.25">
      <c r="A216" s="37"/>
      <c r="B216" s="37"/>
      <c r="C216" s="37"/>
      <c r="D216" s="37"/>
      <c r="E216" s="38"/>
      <c r="F216" s="39"/>
      <c r="G216" s="37"/>
      <c r="H216" s="37"/>
      <c r="I216" s="38"/>
      <c r="J216" s="39"/>
      <c r="K216" s="38"/>
      <c r="L216" s="39"/>
      <c r="M216" s="37"/>
      <c r="N216" s="60"/>
      <c r="O216" s="60"/>
      <c r="P216" s="40"/>
      <c r="R216" s="13"/>
      <c r="S216" s="13"/>
      <c r="T216" s="13"/>
    </row>
    <row r="217" spans="1:20" s="25" customFormat="1" x14ac:dyDescent="0.25">
      <c r="A217" s="37"/>
      <c r="B217" s="37"/>
      <c r="C217" s="37"/>
      <c r="D217" s="37"/>
      <c r="E217" s="38"/>
      <c r="F217" s="39"/>
      <c r="G217" s="37"/>
      <c r="H217" s="37"/>
      <c r="I217" s="38"/>
      <c r="J217" s="39"/>
      <c r="K217" s="38"/>
      <c r="L217" s="39"/>
      <c r="M217" s="37"/>
      <c r="N217" s="60"/>
      <c r="O217" s="60"/>
      <c r="P217" s="40"/>
      <c r="R217" s="13"/>
      <c r="S217" s="13"/>
      <c r="T217" s="13"/>
    </row>
    <row r="218" spans="1:20" s="25" customFormat="1" x14ac:dyDescent="0.25">
      <c r="A218" s="37"/>
      <c r="B218" s="37"/>
      <c r="C218" s="37"/>
      <c r="D218" s="37"/>
      <c r="E218" s="38"/>
      <c r="F218" s="39"/>
      <c r="G218" s="37"/>
      <c r="H218" s="37"/>
      <c r="I218" s="38"/>
      <c r="J218" s="39"/>
      <c r="K218" s="38"/>
      <c r="L218" s="39"/>
      <c r="M218" s="37"/>
      <c r="N218" s="60"/>
      <c r="O218" s="60"/>
      <c r="P218" s="40"/>
      <c r="R218" s="13"/>
      <c r="S218" s="13"/>
      <c r="T218" s="13"/>
    </row>
    <row r="219" spans="1:20" s="25" customFormat="1" x14ac:dyDescent="0.25">
      <c r="A219" s="37"/>
      <c r="B219" s="37"/>
      <c r="C219" s="37"/>
      <c r="D219" s="37"/>
      <c r="E219" s="38"/>
      <c r="F219" s="39"/>
      <c r="G219" s="37"/>
      <c r="H219" s="37"/>
      <c r="I219" s="38"/>
      <c r="J219" s="39"/>
      <c r="K219" s="38"/>
      <c r="L219" s="39"/>
      <c r="M219" s="37"/>
      <c r="N219" s="60"/>
      <c r="O219" s="60"/>
      <c r="P219" s="40"/>
      <c r="R219" s="13"/>
      <c r="S219" s="13"/>
      <c r="T219" s="13"/>
    </row>
    <row r="220" spans="1:20" s="25" customFormat="1" x14ac:dyDescent="0.25">
      <c r="A220" s="37"/>
      <c r="B220" s="37"/>
      <c r="C220" s="37"/>
      <c r="D220" s="37"/>
      <c r="E220" s="38"/>
      <c r="F220" s="39"/>
      <c r="G220" s="37"/>
      <c r="H220" s="37"/>
      <c r="I220" s="38"/>
      <c r="J220" s="39"/>
      <c r="K220" s="38"/>
      <c r="L220" s="39"/>
      <c r="M220" s="37"/>
      <c r="N220" s="60"/>
      <c r="O220" s="60"/>
      <c r="P220" s="40"/>
      <c r="R220" s="13"/>
      <c r="S220" s="13"/>
      <c r="T220" s="13"/>
    </row>
    <row r="221" spans="1:20" s="25" customFormat="1" x14ac:dyDescent="0.25">
      <c r="A221" s="37"/>
      <c r="B221" s="37"/>
      <c r="C221" s="37"/>
      <c r="D221" s="37"/>
      <c r="E221" s="38"/>
      <c r="F221" s="39"/>
      <c r="G221" s="37"/>
      <c r="H221" s="37"/>
      <c r="I221" s="38"/>
      <c r="J221" s="39"/>
      <c r="K221" s="38"/>
      <c r="L221" s="39"/>
      <c r="M221" s="37"/>
      <c r="N221" s="60"/>
      <c r="O221" s="60"/>
      <c r="P221" s="40"/>
      <c r="R221" s="13"/>
      <c r="S221" s="13"/>
      <c r="T221" s="13"/>
    </row>
    <row r="222" spans="1:20" s="25" customFormat="1" x14ac:dyDescent="0.25">
      <c r="A222" s="37"/>
      <c r="B222" s="37"/>
      <c r="C222" s="37"/>
      <c r="D222" s="37"/>
      <c r="E222" s="38"/>
      <c r="F222" s="39"/>
      <c r="G222" s="37"/>
      <c r="H222" s="37"/>
      <c r="I222" s="38"/>
      <c r="J222" s="39"/>
      <c r="K222" s="38"/>
      <c r="L222" s="39"/>
      <c r="M222" s="37"/>
      <c r="N222" s="60"/>
      <c r="O222" s="60"/>
      <c r="P222" s="40"/>
      <c r="R222" s="13"/>
      <c r="S222" s="13"/>
      <c r="T222" s="13"/>
    </row>
    <row r="223" spans="1:20" s="25" customFormat="1" x14ac:dyDescent="0.25">
      <c r="A223" s="37"/>
      <c r="B223" s="37"/>
      <c r="C223" s="37"/>
      <c r="D223" s="37"/>
      <c r="E223" s="38"/>
      <c r="F223" s="39"/>
      <c r="G223" s="37"/>
      <c r="H223" s="37"/>
      <c r="I223" s="38"/>
      <c r="J223" s="39"/>
      <c r="K223" s="38"/>
      <c r="L223" s="39"/>
      <c r="M223" s="37"/>
      <c r="N223" s="60"/>
      <c r="O223" s="60"/>
      <c r="P223" s="40"/>
      <c r="R223" s="13"/>
      <c r="S223" s="13"/>
      <c r="T223" s="13"/>
    </row>
    <row r="224" spans="1:20" s="25" customFormat="1" x14ac:dyDescent="0.25">
      <c r="A224" s="37"/>
      <c r="B224" s="37"/>
      <c r="C224" s="37"/>
      <c r="D224" s="37"/>
      <c r="E224" s="38"/>
      <c r="F224" s="39"/>
      <c r="G224" s="37"/>
      <c r="H224" s="37"/>
      <c r="I224" s="38"/>
      <c r="J224" s="39"/>
      <c r="K224" s="38"/>
      <c r="L224" s="39"/>
      <c r="M224" s="37"/>
      <c r="N224" s="60"/>
      <c r="O224" s="60"/>
      <c r="P224" s="40"/>
      <c r="R224" s="13"/>
      <c r="S224" s="13"/>
      <c r="T224" s="13"/>
    </row>
    <row r="225" spans="1:20" s="25" customFormat="1" x14ac:dyDescent="0.25">
      <c r="A225" s="37"/>
      <c r="B225" s="37"/>
      <c r="C225" s="37"/>
      <c r="D225" s="37"/>
      <c r="E225" s="38"/>
      <c r="F225" s="39"/>
      <c r="G225" s="37"/>
      <c r="H225" s="37"/>
      <c r="I225" s="38"/>
      <c r="J225" s="39"/>
      <c r="K225" s="38"/>
      <c r="L225" s="39"/>
      <c r="M225" s="37"/>
      <c r="N225" s="60"/>
      <c r="O225" s="60"/>
      <c r="P225" s="40"/>
      <c r="R225" s="13"/>
      <c r="S225" s="13"/>
      <c r="T225" s="13"/>
    </row>
    <row r="226" spans="1:20" s="25" customFormat="1" x14ac:dyDescent="0.25">
      <c r="A226" s="37"/>
      <c r="B226" s="37"/>
      <c r="C226" s="37"/>
      <c r="D226" s="37"/>
      <c r="E226" s="38"/>
      <c r="F226" s="39"/>
      <c r="G226" s="37"/>
      <c r="H226" s="37"/>
      <c r="I226" s="38"/>
      <c r="J226" s="39"/>
      <c r="K226" s="38"/>
      <c r="L226" s="39"/>
      <c r="M226" s="37"/>
      <c r="N226" s="60"/>
      <c r="O226" s="60"/>
      <c r="P226" s="40"/>
      <c r="R226" s="13"/>
      <c r="S226" s="13"/>
      <c r="T226" s="13"/>
    </row>
    <row r="227" spans="1:20" s="25" customFormat="1" x14ac:dyDescent="0.25">
      <c r="A227" s="37"/>
      <c r="B227" s="37"/>
      <c r="C227" s="37"/>
      <c r="D227" s="37"/>
      <c r="E227" s="38"/>
      <c r="F227" s="39"/>
      <c r="G227" s="37"/>
      <c r="H227" s="37"/>
      <c r="I227" s="38"/>
      <c r="J227" s="39"/>
      <c r="K227" s="38"/>
      <c r="L227" s="39"/>
      <c r="M227" s="37"/>
      <c r="N227" s="60"/>
      <c r="O227" s="60"/>
      <c r="P227" s="40"/>
      <c r="R227" s="13"/>
      <c r="S227" s="13"/>
      <c r="T227" s="13"/>
    </row>
    <row r="228" spans="1:20" s="25" customFormat="1" x14ac:dyDescent="0.25">
      <c r="A228" s="37"/>
      <c r="B228" s="37"/>
      <c r="C228" s="37"/>
      <c r="D228" s="37"/>
      <c r="E228" s="38"/>
      <c r="F228" s="39"/>
      <c r="G228" s="37"/>
      <c r="H228" s="37"/>
      <c r="I228" s="38"/>
      <c r="J228" s="39"/>
      <c r="K228" s="38"/>
      <c r="L228" s="39"/>
      <c r="M228" s="37"/>
      <c r="N228" s="60"/>
      <c r="O228" s="60"/>
      <c r="P228" s="40"/>
      <c r="R228" s="13"/>
      <c r="S228" s="13"/>
      <c r="T228" s="13"/>
    </row>
    <row r="229" spans="1:20" s="25" customFormat="1" x14ac:dyDescent="0.25">
      <c r="A229" s="37"/>
      <c r="B229" s="37"/>
      <c r="C229" s="37"/>
      <c r="D229" s="37"/>
      <c r="E229" s="38"/>
      <c r="F229" s="39"/>
      <c r="G229" s="37"/>
      <c r="H229" s="37"/>
      <c r="I229" s="38"/>
      <c r="J229" s="39"/>
      <c r="K229" s="38"/>
      <c r="L229" s="39"/>
      <c r="M229" s="37"/>
      <c r="N229" s="60"/>
      <c r="O229" s="60"/>
      <c r="P229" s="40"/>
      <c r="R229" s="13"/>
      <c r="S229" s="13"/>
      <c r="T229" s="13"/>
    </row>
    <row r="230" spans="1:20" s="25" customFormat="1" x14ac:dyDescent="0.25">
      <c r="A230" s="37"/>
      <c r="B230" s="37"/>
      <c r="C230" s="37"/>
      <c r="D230" s="37"/>
      <c r="E230" s="38"/>
      <c r="F230" s="39"/>
      <c r="G230" s="37"/>
      <c r="H230" s="37"/>
      <c r="I230" s="38"/>
      <c r="J230" s="39"/>
      <c r="K230" s="38"/>
      <c r="L230" s="39"/>
      <c r="M230" s="37"/>
      <c r="N230" s="60"/>
      <c r="O230" s="60"/>
      <c r="P230" s="40"/>
      <c r="R230" s="13"/>
      <c r="S230" s="13"/>
      <c r="T230" s="13"/>
    </row>
    <row r="231" spans="1:20" s="25" customFormat="1" x14ac:dyDescent="0.25">
      <c r="A231" s="37"/>
      <c r="B231" s="37"/>
      <c r="C231" s="37"/>
      <c r="D231" s="37"/>
      <c r="E231" s="38"/>
      <c r="F231" s="39"/>
      <c r="G231" s="37"/>
      <c r="H231" s="37"/>
      <c r="I231" s="38"/>
      <c r="J231" s="39"/>
      <c r="K231" s="38"/>
      <c r="L231" s="39"/>
      <c r="M231" s="37"/>
      <c r="N231" s="60"/>
      <c r="O231" s="60"/>
      <c r="P231" s="40"/>
      <c r="R231" s="13"/>
      <c r="S231" s="13"/>
      <c r="T231" s="13"/>
    </row>
    <row r="232" spans="1:20" s="25" customFormat="1" x14ac:dyDescent="0.25">
      <c r="A232" s="37"/>
      <c r="B232" s="37"/>
      <c r="C232" s="37"/>
      <c r="D232" s="37"/>
      <c r="E232" s="38"/>
      <c r="F232" s="39"/>
      <c r="G232" s="37"/>
      <c r="H232" s="37"/>
      <c r="I232" s="38"/>
      <c r="J232" s="39"/>
      <c r="K232" s="38"/>
      <c r="L232" s="39"/>
      <c r="M232" s="37"/>
      <c r="N232" s="60"/>
      <c r="O232" s="60"/>
      <c r="P232" s="40"/>
      <c r="R232" s="13"/>
      <c r="S232" s="13"/>
      <c r="T232" s="13"/>
    </row>
    <row r="233" spans="1:20" s="25" customFormat="1" x14ac:dyDescent="0.25">
      <c r="A233" s="37"/>
      <c r="B233" s="37"/>
      <c r="C233" s="37"/>
      <c r="D233" s="37"/>
      <c r="E233" s="38"/>
      <c r="F233" s="39"/>
      <c r="G233" s="37"/>
      <c r="H233" s="37"/>
      <c r="I233" s="38"/>
      <c r="J233" s="39"/>
      <c r="K233" s="38"/>
      <c r="L233" s="39"/>
      <c r="M233" s="37"/>
      <c r="N233" s="60"/>
      <c r="O233" s="60"/>
      <c r="P233" s="40"/>
      <c r="R233" s="13"/>
      <c r="S233" s="13"/>
      <c r="T233" s="13"/>
    </row>
    <row r="234" spans="1:20" s="25" customFormat="1" x14ac:dyDescent="0.25">
      <c r="A234" s="37"/>
      <c r="B234" s="37"/>
      <c r="C234" s="37"/>
      <c r="D234" s="37"/>
      <c r="E234" s="38"/>
      <c r="F234" s="39"/>
      <c r="G234" s="37"/>
      <c r="H234" s="37"/>
      <c r="I234" s="38"/>
      <c r="J234" s="39"/>
      <c r="K234" s="38"/>
      <c r="L234" s="39"/>
      <c r="M234" s="37"/>
      <c r="N234" s="60"/>
      <c r="O234" s="60"/>
      <c r="P234" s="40"/>
      <c r="R234" s="13"/>
      <c r="S234" s="13"/>
      <c r="T234" s="13"/>
    </row>
    <row r="235" spans="1:20" s="25" customFormat="1" x14ac:dyDescent="0.25">
      <c r="A235" s="37"/>
      <c r="B235" s="37"/>
      <c r="C235" s="37"/>
      <c r="D235" s="37"/>
      <c r="E235" s="38"/>
      <c r="F235" s="39"/>
      <c r="G235" s="37"/>
      <c r="H235" s="37"/>
      <c r="I235" s="38"/>
      <c r="J235" s="39"/>
      <c r="K235" s="38"/>
      <c r="L235" s="39"/>
      <c r="M235" s="37"/>
      <c r="N235" s="60"/>
      <c r="O235" s="60"/>
      <c r="P235" s="40"/>
      <c r="R235" s="13"/>
      <c r="S235" s="13"/>
      <c r="T235" s="13"/>
    </row>
    <row r="236" spans="1:20" s="25" customFormat="1" x14ac:dyDescent="0.25">
      <c r="A236" s="37"/>
      <c r="B236" s="37"/>
      <c r="C236" s="37"/>
      <c r="D236" s="37"/>
      <c r="E236" s="38"/>
      <c r="F236" s="39"/>
      <c r="G236" s="37"/>
      <c r="H236" s="37"/>
      <c r="I236" s="38"/>
      <c r="J236" s="39"/>
      <c r="K236" s="38"/>
      <c r="L236" s="39"/>
      <c r="M236" s="37"/>
      <c r="N236" s="60"/>
      <c r="O236" s="60"/>
      <c r="P236" s="40"/>
      <c r="R236" s="13"/>
      <c r="S236" s="13"/>
      <c r="T236" s="13"/>
    </row>
    <row r="237" spans="1:20" s="25" customFormat="1" x14ac:dyDescent="0.25">
      <c r="A237" s="37"/>
      <c r="B237" s="37"/>
      <c r="C237" s="37"/>
      <c r="D237" s="37"/>
      <c r="E237" s="38"/>
      <c r="F237" s="39"/>
      <c r="G237" s="37"/>
      <c r="H237" s="37"/>
      <c r="I237" s="38"/>
      <c r="J237" s="39"/>
      <c r="K237" s="38"/>
      <c r="L237" s="39"/>
      <c r="M237" s="37"/>
      <c r="N237" s="60"/>
      <c r="O237" s="60"/>
      <c r="P237" s="40"/>
      <c r="R237" s="13"/>
      <c r="S237" s="13"/>
      <c r="T237" s="13"/>
    </row>
    <row r="238" spans="1:20" s="25" customFormat="1" x14ac:dyDescent="0.25">
      <c r="A238" s="37"/>
      <c r="B238" s="37"/>
      <c r="C238" s="37"/>
      <c r="D238" s="37"/>
      <c r="E238" s="38"/>
      <c r="F238" s="39"/>
      <c r="G238" s="37"/>
      <c r="H238" s="37"/>
      <c r="I238" s="38"/>
      <c r="J238" s="39"/>
      <c r="K238" s="38"/>
      <c r="L238" s="39"/>
      <c r="M238" s="37"/>
      <c r="N238" s="60"/>
      <c r="O238" s="60"/>
      <c r="P238" s="40"/>
      <c r="R238" s="13"/>
      <c r="S238" s="13"/>
      <c r="T238" s="13"/>
    </row>
    <row r="239" spans="1:20" s="25" customFormat="1" x14ac:dyDescent="0.25">
      <c r="A239" s="37"/>
      <c r="B239" s="37"/>
      <c r="C239" s="37"/>
      <c r="D239" s="37"/>
      <c r="E239" s="38"/>
      <c r="F239" s="39"/>
      <c r="G239" s="37"/>
      <c r="H239" s="37"/>
      <c r="I239" s="38"/>
      <c r="J239" s="39"/>
      <c r="K239" s="38"/>
      <c r="L239" s="39"/>
      <c r="M239" s="37"/>
      <c r="N239" s="60"/>
      <c r="O239" s="60"/>
      <c r="P239" s="40"/>
      <c r="R239" s="13"/>
      <c r="S239" s="13"/>
      <c r="T239" s="13"/>
    </row>
    <row r="240" spans="1:20" s="25" customFormat="1" x14ac:dyDescent="0.25">
      <c r="A240" s="37"/>
      <c r="B240" s="37"/>
      <c r="C240" s="37"/>
      <c r="D240" s="37"/>
      <c r="E240" s="38"/>
      <c r="F240" s="39"/>
      <c r="G240" s="37"/>
      <c r="H240" s="37"/>
      <c r="I240" s="38"/>
      <c r="J240" s="39"/>
      <c r="K240" s="38"/>
      <c r="L240" s="39"/>
      <c r="M240" s="37"/>
      <c r="N240" s="60"/>
      <c r="O240" s="60"/>
      <c r="P240" s="40"/>
      <c r="R240" s="13"/>
      <c r="S240" s="13"/>
      <c r="T240" s="13"/>
    </row>
    <row r="241" spans="1:20" s="25" customFormat="1" x14ac:dyDescent="0.25">
      <c r="A241" s="37"/>
      <c r="B241" s="37"/>
      <c r="C241" s="37"/>
      <c r="D241" s="37"/>
      <c r="E241" s="38"/>
      <c r="F241" s="39"/>
      <c r="G241" s="37"/>
      <c r="H241" s="37"/>
      <c r="I241" s="38"/>
      <c r="J241" s="39"/>
      <c r="K241" s="38"/>
      <c r="L241" s="39"/>
      <c r="M241" s="37"/>
      <c r="N241" s="60"/>
      <c r="O241" s="60"/>
      <c r="P241" s="40"/>
      <c r="R241" s="13"/>
      <c r="S241" s="13"/>
      <c r="T241" s="13"/>
    </row>
    <row r="242" spans="1:20" s="25" customFormat="1" x14ac:dyDescent="0.25">
      <c r="A242" s="37"/>
      <c r="B242" s="37"/>
      <c r="C242" s="37"/>
      <c r="D242" s="37"/>
      <c r="E242" s="38"/>
      <c r="F242" s="39"/>
      <c r="G242" s="37"/>
      <c r="H242" s="37"/>
      <c r="I242" s="38"/>
      <c r="J242" s="39"/>
      <c r="K242" s="38"/>
      <c r="L242" s="39"/>
      <c r="M242" s="37"/>
      <c r="N242" s="60"/>
      <c r="O242" s="60"/>
      <c r="P242" s="40"/>
      <c r="R242" s="13"/>
      <c r="S242" s="13"/>
      <c r="T242" s="13"/>
    </row>
    <row r="243" spans="1:20" s="25" customFormat="1" x14ac:dyDescent="0.25">
      <c r="A243" s="37"/>
      <c r="B243" s="37"/>
      <c r="C243" s="37"/>
      <c r="D243" s="37"/>
      <c r="E243" s="38"/>
      <c r="F243" s="39"/>
      <c r="G243" s="37"/>
      <c r="H243" s="37"/>
      <c r="I243" s="38"/>
      <c r="J243" s="39"/>
      <c r="K243" s="38"/>
      <c r="L243" s="39"/>
      <c r="M243" s="37"/>
      <c r="N243" s="60"/>
      <c r="O243" s="60"/>
      <c r="P243" s="40"/>
      <c r="R243" s="13"/>
      <c r="S243" s="13"/>
      <c r="T243" s="13"/>
    </row>
    <row r="244" spans="1:20" s="25" customFormat="1" x14ac:dyDescent="0.25">
      <c r="A244" s="37"/>
      <c r="B244" s="37"/>
      <c r="C244" s="37"/>
      <c r="D244" s="37"/>
      <c r="E244" s="38"/>
      <c r="F244" s="39"/>
      <c r="G244" s="37"/>
      <c r="H244" s="37"/>
      <c r="I244" s="38"/>
      <c r="J244" s="39"/>
      <c r="K244" s="38"/>
      <c r="L244" s="39"/>
      <c r="M244" s="37"/>
      <c r="N244" s="60"/>
      <c r="O244" s="60"/>
      <c r="P244" s="40"/>
      <c r="R244" s="13"/>
      <c r="S244" s="13"/>
      <c r="T244" s="13"/>
    </row>
    <row r="245" spans="1:20" s="25" customFormat="1" x14ac:dyDescent="0.25">
      <c r="A245" s="37"/>
      <c r="B245" s="37"/>
      <c r="C245" s="37"/>
      <c r="D245" s="37"/>
      <c r="E245" s="38"/>
      <c r="F245" s="39"/>
      <c r="G245" s="37"/>
      <c r="H245" s="37"/>
      <c r="I245" s="38"/>
      <c r="J245" s="39"/>
      <c r="K245" s="38"/>
      <c r="L245" s="39"/>
      <c r="M245" s="37"/>
      <c r="N245" s="60"/>
      <c r="O245" s="60"/>
      <c r="P245" s="40"/>
      <c r="R245" s="13"/>
      <c r="S245" s="13"/>
      <c r="T245" s="13"/>
    </row>
    <row r="246" spans="1:20" s="25" customFormat="1" x14ac:dyDescent="0.25">
      <c r="A246" s="37"/>
      <c r="B246" s="37"/>
      <c r="C246" s="37"/>
      <c r="D246" s="37"/>
      <c r="E246" s="38"/>
      <c r="F246" s="39"/>
      <c r="G246" s="37"/>
      <c r="H246" s="37"/>
      <c r="I246" s="38"/>
      <c r="J246" s="39"/>
      <c r="K246" s="38"/>
      <c r="L246" s="39"/>
      <c r="M246" s="37"/>
      <c r="N246" s="60"/>
      <c r="O246" s="60"/>
      <c r="P246" s="40"/>
      <c r="R246" s="13"/>
      <c r="S246" s="13"/>
      <c r="T246" s="13"/>
    </row>
    <row r="247" spans="1:20" s="25" customFormat="1" x14ac:dyDescent="0.25">
      <c r="A247" s="37"/>
      <c r="B247" s="37"/>
      <c r="C247" s="37"/>
      <c r="D247" s="37"/>
      <c r="E247" s="38"/>
      <c r="F247" s="39"/>
      <c r="G247" s="37"/>
      <c r="H247" s="37"/>
      <c r="I247" s="38"/>
      <c r="J247" s="39"/>
      <c r="K247" s="38"/>
      <c r="L247" s="39"/>
      <c r="M247" s="37"/>
      <c r="N247" s="60"/>
      <c r="O247" s="60"/>
      <c r="P247" s="40"/>
      <c r="R247" s="13"/>
      <c r="S247" s="13"/>
      <c r="T247" s="13"/>
    </row>
    <row r="248" spans="1:20" s="25" customFormat="1" x14ac:dyDescent="0.25">
      <c r="A248" s="37"/>
      <c r="B248" s="37"/>
      <c r="C248" s="37"/>
      <c r="D248" s="37"/>
      <c r="E248" s="38"/>
      <c r="F248" s="39"/>
      <c r="G248" s="37"/>
      <c r="H248" s="37"/>
      <c r="I248" s="38"/>
      <c r="J248" s="39"/>
      <c r="K248" s="38"/>
      <c r="L248" s="39"/>
      <c r="M248" s="37"/>
      <c r="N248" s="60"/>
      <c r="O248" s="60"/>
      <c r="P248" s="40"/>
      <c r="R248" s="13"/>
      <c r="S248" s="13"/>
      <c r="T248" s="13"/>
    </row>
    <row r="249" spans="1:20" s="25" customFormat="1" x14ac:dyDescent="0.25">
      <c r="A249" s="37"/>
      <c r="B249" s="37"/>
      <c r="C249" s="37"/>
      <c r="D249" s="37"/>
      <c r="E249" s="38"/>
      <c r="F249" s="39"/>
      <c r="G249" s="37"/>
      <c r="H249" s="37"/>
      <c r="I249" s="38"/>
      <c r="J249" s="39"/>
      <c r="K249" s="38"/>
      <c r="L249" s="39"/>
      <c r="M249" s="37"/>
      <c r="N249" s="60"/>
      <c r="O249" s="60"/>
      <c r="P249" s="40"/>
      <c r="R249" s="13"/>
      <c r="S249" s="13"/>
      <c r="T249" s="13"/>
    </row>
    <row r="250" spans="1:20" s="25" customFormat="1" x14ac:dyDescent="0.25">
      <c r="A250" s="37"/>
      <c r="B250" s="37"/>
      <c r="C250" s="37"/>
      <c r="D250" s="37"/>
      <c r="E250" s="38"/>
      <c r="F250" s="39"/>
      <c r="G250" s="37"/>
      <c r="H250" s="37"/>
      <c r="I250" s="38"/>
      <c r="J250" s="39"/>
      <c r="K250" s="38"/>
      <c r="L250" s="39"/>
      <c r="M250" s="37"/>
      <c r="N250" s="60"/>
      <c r="O250" s="60"/>
      <c r="P250" s="40"/>
      <c r="R250" s="13"/>
      <c r="S250" s="13"/>
      <c r="T250" s="13"/>
    </row>
    <row r="251" spans="1:20" s="25" customFormat="1" x14ac:dyDescent="0.25">
      <c r="A251" s="37"/>
      <c r="B251" s="37"/>
      <c r="C251" s="37"/>
      <c r="D251" s="37"/>
      <c r="E251" s="38"/>
      <c r="F251" s="39"/>
      <c r="G251" s="37"/>
      <c r="H251" s="37"/>
      <c r="I251" s="38"/>
      <c r="J251" s="39"/>
      <c r="K251" s="38"/>
      <c r="L251" s="39"/>
      <c r="M251" s="37"/>
      <c r="N251" s="60"/>
      <c r="O251" s="60"/>
      <c r="P251" s="40"/>
      <c r="R251" s="13"/>
      <c r="S251" s="13"/>
      <c r="T251" s="13"/>
    </row>
    <row r="252" spans="1:20" s="25" customFormat="1" x14ac:dyDescent="0.25">
      <c r="A252" s="37"/>
      <c r="B252" s="37"/>
      <c r="C252" s="37"/>
      <c r="D252" s="37"/>
      <c r="E252" s="38"/>
      <c r="F252" s="39"/>
      <c r="G252" s="37"/>
      <c r="H252" s="37"/>
      <c r="I252" s="38"/>
      <c r="J252" s="39"/>
      <c r="K252" s="38"/>
      <c r="L252" s="39"/>
      <c r="M252" s="37"/>
      <c r="N252" s="60"/>
      <c r="O252" s="60"/>
      <c r="P252" s="40"/>
      <c r="R252" s="13"/>
      <c r="S252" s="13"/>
      <c r="T252" s="13"/>
    </row>
    <row r="253" spans="1:20" s="25" customFormat="1" x14ac:dyDescent="0.25">
      <c r="A253" s="37"/>
      <c r="B253" s="37"/>
      <c r="C253" s="37"/>
      <c r="D253" s="37"/>
      <c r="E253" s="38"/>
      <c r="F253" s="39"/>
      <c r="G253" s="37"/>
      <c r="H253" s="37"/>
      <c r="I253" s="38"/>
      <c r="J253" s="39"/>
      <c r="K253" s="38"/>
      <c r="L253" s="39"/>
      <c r="M253" s="37"/>
      <c r="N253" s="60"/>
      <c r="O253" s="60"/>
      <c r="P253" s="40"/>
      <c r="R253" s="13"/>
      <c r="S253" s="13"/>
      <c r="T253" s="13"/>
    </row>
    <row r="254" spans="1:20" s="25" customFormat="1" x14ac:dyDescent="0.25">
      <c r="A254" s="37"/>
      <c r="B254" s="37"/>
      <c r="C254" s="37"/>
      <c r="D254" s="37"/>
      <c r="E254" s="38"/>
      <c r="F254" s="39"/>
      <c r="G254" s="37"/>
      <c r="H254" s="37"/>
      <c r="I254" s="38"/>
      <c r="J254" s="39"/>
      <c r="K254" s="38"/>
      <c r="L254" s="39"/>
      <c r="M254" s="37"/>
      <c r="N254" s="60"/>
      <c r="O254" s="60"/>
      <c r="P254" s="40"/>
      <c r="R254" s="13"/>
      <c r="S254" s="13"/>
      <c r="T254" s="13"/>
    </row>
    <row r="255" spans="1:20" s="25" customFormat="1" x14ac:dyDescent="0.25">
      <c r="A255" s="37"/>
      <c r="B255" s="37"/>
      <c r="C255" s="37"/>
      <c r="D255" s="37"/>
      <c r="E255" s="38"/>
      <c r="F255" s="39"/>
      <c r="G255" s="37"/>
      <c r="H255" s="37"/>
      <c r="I255" s="38"/>
      <c r="J255" s="39"/>
      <c r="K255" s="38"/>
      <c r="L255" s="39"/>
      <c r="M255" s="37"/>
      <c r="N255" s="60"/>
      <c r="O255" s="60"/>
      <c r="P255" s="40"/>
      <c r="R255" s="13"/>
      <c r="S255" s="13"/>
      <c r="T255" s="13"/>
    </row>
    <row r="256" spans="1:20" s="25" customFormat="1" x14ac:dyDescent="0.25">
      <c r="A256" s="37"/>
      <c r="B256" s="37"/>
      <c r="C256" s="37"/>
      <c r="D256" s="37"/>
      <c r="E256" s="38"/>
      <c r="F256" s="39"/>
      <c r="G256" s="37"/>
      <c r="H256" s="37"/>
      <c r="I256" s="38"/>
      <c r="J256" s="39"/>
      <c r="K256" s="38"/>
      <c r="L256" s="39"/>
      <c r="M256" s="37"/>
      <c r="N256" s="60"/>
      <c r="O256" s="60"/>
      <c r="P256" s="40"/>
      <c r="R256" s="13"/>
      <c r="S256" s="13"/>
      <c r="T256" s="13"/>
    </row>
    <row r="257" spans="1:20" s="25" customFormat="1" x14ac:dyDescent="0.25">
      <c r="A257" s="37"/>
      <c r="B257" s="37"/>
      <c r="C257" s="37"/>
      <c r="D257" s="37"/>
      <c r="E257" s="38"/>
      <c r="F257" s="39"/>
      <c r="G257" s="37"/>
      <c r="H257" s="37"/>
      <c r="I257" s="38"/>
      <c r="J257" s="39"/>
      <c r="K257" s="38"/>
      <c r="L257" s="39"/>
      <c r="M257" s="37"/>
      <c r="N257" s="60"/>
      <c r="O257" s="60"/>
      <c r="P257" s="40"/>
      <c r="R257" s="13"/>
      <c r="S257" s="13"/>
      <c r="T257" s="13"/>
    </row>
    <row r="258" spans="1:20" s="25" customFormat="1" x14ac:dyDescent="0.25">
      <c r="A258" s="37"/>
      <c r="B258" s="37"/>
      <c r="C258" s="37"/>
      <c r="D258" s="37"/>
      <c r="E258" s="38"/>
      <c r="F258" s="39"/>
      <c r="G258" s="37"/>
      <c r="H258" s="37"/>
      <c r="I258" s="38"/>
      <c r="J258" s="39"/>
      <c r="K258" s="38"/>
      <c r="L258" s="39"/>
      <c r="M258" s="37"/>
      <c r="N258" s="60"/>
      <c r="O258" s="60"/>
      <c r="P258" s="40"/>
      <c r="R258" s="13"/>
      <c r="S258" s="13"/>
      <c r="T258" s="13"/>
    </row>
    <row r="259" spans="1:20" s="25" customFormat="1" x14ac:dyDescent="0.25">
      <c r="A259" s="37"/>
      <c r="B259" s="37"/>
      <c r="C259" s="37"/>
      <c r="D259" s="37"/>
      <c r="E259" s="38"/>
      <c r="F259" s="39"/>
      <c r="G259" s="37"/>
      <c r="H259" s="37"/>
      <c r="I259" s="38"/>
      <c r="J259" s="39"/>
      <c r="K259" s="38"/>
      <c r="L259" s="39"/>
      <c r="M259" s="37"/>
      <c r="N259" s="60"/>
      <c r="O259" s="60"/>
      <c r="P259" s="40"/>
      <c r="R259" s="13"/>
      <c r="S259" s="13"/>
      <c r="T259" s="13"/>
    </row>
    <row r="260" spans="1:20" s="25" customFormat="1" x14ac:dyDescent="0.25">
      <c r="A260" s="37"/>
      <c r="B260" s="37"/>
      <c r="C260" s="37"/>
      <c r="D260" s="37"/>
      <c r="E260" s="38"/>
      <c r="F260" s="39"/>
      <c r="G260" s="37"/>
      <c r="H260" s="37"/>
      <c r="I260" s="38"/>
      <c r="J260" s="39"/>
      <c r="K260" s="38"/>
      <c r="L260" s="39"/>
      <c r="M260" s="37"/>
      <c r="N260" s="60"/>
      <c r="O260" s="60"/>
      <c r="P260" s="40"/>
      <c r="R260" s="13"/>
      <c r="S260" s="13"/>
      <c r="T260" s="13"/>
    </row>
    <row r="261" spans="1:20" s="25" customFormat="1" x14ac:dyDescent="0.25">
      <c r="A261" s="37"/>
      <c r="B261" s="37"/>
      <c r="C261" s="37"/>
      <c r="D261" s="37"/>
      <c r="E261" s="38"/>
      <c r="F261" s="39"/>
      <c r="G261" s="37"/>
      <c r="H261" s="37"/>
      <c r="I261" s="38"/>
      <c r="J261" s="39"/>
      <c r="K261" s="38"/>
      <c r="L261" s="39"/>
      <c r="M261" s="37"/>
      <c r="N261" s="60"/>
      <c r="O261" s="60"/>
      <c r="P261" s="40"/>
      <c r="R261" s="13"/>
      <c r="S261" s="13"/>
      <c r="T261" s="13"/>
    </row>
    <row r="262" spans="1:20" s="25" customFormat="1" x14ac:dyDescent="0.25">
      <c r="A262" s="37"/>
      <c r="B262" s="37"/>
      <c r="C262" s="37"/>
      <c r="D262" s="37"/>
      <c r="E262" s="38"/>
      <c r="F262" s="39"/>
      <c r="G262" s="37"/>
      <c r="H262" s="37"/>
      <c r="I262" s="38"/>
      <c r="J262" s="39"/>
      <c r="K262" s="38"/>
      <c r="L262" s="39"/>
      <c r="M262" s="37"/>
      <c r="N262" s="60"/>
      <c r="O262" s="60"/>
      <c r="P262" s="40"/>
      <c r="R262" s="13"/>
      <c r="S262" s="13"/>
      <c r="T262" s="13"/>
    </row>
    <row r="263" spans="1:20" s="25" customFormat="1" x14ac:dyDescent="0.25">
      <c r="A263" s="37"/>
      <c r="B263" s="37"/>
      <c r="C263" s="37"/>
      <c r="D263" s="37"/>
      <c r="E263" s="38"/>
      <c r="F263" s="39"/>
      <c r="G263" s="37"/>
      <c r="H263" s="37"/>
      <c r="I263" s="38"/>
      <c r="J263" s="39"/>
      <c r="K263" s="38"/>
      <c r="L263" s="39"/>
      <c r="M263" s="37"/>
      <c r="N263" s="60"/>
      <c r="O263" s="60"/>
      <c r="P263" s="40"/>
      <c r="R263" s="13"/>
      <c r="S263" s="13"/>
      <c r="T263" s="13"/>
    </row>
    <row r="264" spans="1:20" s="25" customFormat="1" x14ac:dyDescent="0.25">
      <c r="A264" s="37"/>
      <c r="B264" s="37"/>
      <c r="C264" s="37"/>
      <c r="D264" s="37"/>
      <c r="E264" s="38"/>
      <c r="F264" s="39"/>
      <c r="G264" s="37"/>
      <c r="H264" s="37"/>
      <c r="I264" s="38"/>
      <c r="J264" s="39"/>
      <c r="K264" s="38"/>
      <c r="L264" s="39"/>
      <c r="M264" s="37"/>
      <c r="N264" s="60"/>
      <c r="O264" s="60"/>
      <c r="P264" s="40"/>
      <c r="R264" s="13"/>
      <c r="S264" s="13"/>
      <c r="T264" s="13"/>
    </row>
    <row r="265" spans="1:20" s="25" customFormat="1" x14ac:dyDescent="0.25">
      <c r="A265" s="37"/>
      <c r="B265" s="37"/>
      <c r="C265" s="37"/>
      <c r="D265" s="37"/>
      <c r="E265" s="38"/>
      <c r="F265" s="39"/>
      <c r="G265" s="37"/>
      <c r="H265" s="37"/>
      <c r="I265" s="38"/>
      <c r="J265" s="39"/>
      <c r="K265" s="38"/>
      <c r="L265" s="39"/>
      <c r="M265" s="37"/>
      <c r="N265" s="60"/>
      <c r="O265" s="60"/>
      <c r="P265" s="40"/>
      <c r="R265" s="13"/>
      <c r="S265" s="13"/>
      <c r="T265" s="13"/>
    </row>
    <row r="266" spans="1:20" s="25" customFormat="1" x14ac:dyDescent="0.25">
      <c r="A266" s="37"/>
      <c r="B266" s="37"/>
      <c r="C266" s="37"/>
      <c r="D266" s="37"/>
      <c r="E266" s="38"/>
      <c r="F266" s="39"/>
      <c r="G266" s="37"/>
      <c r="H266" s="37"/>
      <c r="I266" s="38"/>
      <c r="J266" s="39"/>
      <c r="K266" s="38"/>
      <c r="L266" s="39"/>
      <c r="M266" s="37"/>
      <c r="N266" s="60"/>
      <c r="O266" s="60"/>
      <c r="P266" s="40"/>
      <c r="R266" s="13"/>
      <c r="S266" s="13"/>
      <c r="T266" s="13"/>
    </row>
    <row r="267" spans="1:20" s="25" customFormat="1" x14ac:dyDescent="0.25">
      <c r="A267" s="37"/>
      <c r="B267" s="37"/>
      <c r="C267" s="37"/>
      <c r="D267" s="37"/>
      <c r="E267" s="38"/>
      <c r="F267" s="39"/>
      <c r="G267" s="37"/>
      <c r="H267" s="37"/>
      <c r="I267" s="38"/>
      <c r="J267" s="39"/>
      <c r="K267" s="38"/>
      <c r="L267" s="39"/>
      <c r="M267" s="37"/>
      <c r="N267" s="60"/>
      <c r="O267" s="60"/>
      <c r="P267" s="40"/>
      <c r="R267" s="13"/>
      <c r="S267" s="13"/>
      <c r="T267" s="13"/>
    </row>
    <row r="268" spans="1:20" s="25" customFormat="1" x14ac:dyDescent="0.25">
      <c r="A268" s="37"/>
      <c r="B268" s="37"/>
      <c r="C268" s="37"/>
      <c r="D268" s="37"/>
      <c r="E268" s="38"/>
      <c r="F268" s="39"/>
      <c r="G268" s="37"/>
      <c r="H268" s="37"/>
      <c r="I268" s="38"/>
      <c r="J268" s="39"/>
      <c r="K268" s="38"/>
      <c r="L268" s="39"/>
      <c r="M268" s="37"/>
      <c r="N268" s="60"/>
      <c r="O268" s="60"/>
      <c r="P268" s="40"/>
      <c r="R268" s="13"/>
      <c r="S268" s="13"/>
      <c r="T268" s="13"/>
    </row>
    <row r="269" spans="1:20" s="25" customFormat="1" x14ac:dyDescent="0.25">
      <c r="A269" s="37"/>
      <c r="B269" s="37"/>
      <c r="C269" s="37"/>
      <c r="D269" s="37"/>
      <c r="E269" s="38"/>
      <c r="F269" s="39"/>
      <c r="G269" s="37"/>
      <c r="H269" s="37"/>
      <c r="I269" s="38"/>
      <c r="J269" s="39"/>
      <c r="K269" s="38"/>
      <c r="L269" s="39"/>
      <c r="M269" s="37"/>
      <c r="N269" s="60"/>
      <c r="O269" s="60"/>
      <c r="P269" s="40"/>
      <c r="R269" s="13"/>
      <c r="S269" s="13"/>
      <c r="T269" s="13"/>
    </row>
    <row r="270" spans="1:20" s="25" customFormat="1" x14ac:dyDescent="0.25">
      <c r="A270" s="37"/>
      <c r="B270" s="37"/>
      <c r="C270" s="37"/>
      <c r="D270" s="37"/>
      <c r="E270" s="38"/>
      <c r="F270" s="39"/>
      <c r="G270" s="37"/>
      <c r="H270" s="37"/>
      <c r="I270" s="38"/>
      <c r="J270" s="39"/>
      <c r="K270" s="38"/>
      <c r="L270" s="39"/>
      <c r="M270" s="37"/>
      <c r="N270" s="60"/>
      <c r="O270" s="60"/>
      <c r="P270" s="40"/>
      <c r="R270" s="13"/>
      <c r="S270" s="13"/>
      <c r="T270" s="13"/>
    </row>
    <row r="271" spans="1:20" s="25" customFormat="1" x14ac:dyDescent="0.25">
      <c r="A271" s="37"/>
      <c r="B271" s="37"/>
      <c r="C271" s="37"/>
      <c r="D271" s="37"/>
      <c r="E271" s="38"/>
      <c r="F271" s="39"/>
      <c r="G271" s="37"/>
      <c r="H271" s="37"/>
      <c r="I271" s="38"/>
      <c r="J271" s="39"/>
      <c r="K271" s="38"/>
      <c r="L271" s="39"/>
      <c r="M271" s="37"/>
      <c r="N271" s="60"/>
      <c r="O271" s="60"/>
      <c r="P271" s="40"/>
      <c r="R271" s="13"/>
      <c r="S271" s="13"/>
      <c r="T271" s="13"/>
    </row>
    <row r="272" spans="1:20" s="25" customFormat="1" x14ac:dyDescent="0.25">
      <c r="A272" s="37"/>
      <c r="B272" s="37"/>
      <c r="C272" s="37"/>
      <c r="D272" s="37"/>
      <c r="E272" s="38"/>
      <c r="F272" s="39"/>
      <c r="G272" s="37"/>
      <c r="H272" s="37"/>
      <c r="I272" s="38"/>
      <c r="J272" s="39"/>
      <c r="K272" s="38"/>
      <c r="L272" s="39"/>
      <c r="M272" s="37"/>
      <c r="N272" s="60"/>
      <c r="O272" s="60"/>
      <c r="P272" s="40"/>
      <c r="R272" s="13"/>
      <c r="S272" s="13"/>
      <c r="T272" s="13"/>
    </row>
    <row r="273" spans="1:20" s="25" customFormat="1" x14ac:dyDescent="0.25">
      <c r="A273" s="37"/>
      <c r="B273" s="37"/>
      <c r="C273" s="37"/>
      <c r="D273" s="37"/>
      <c r="E273" s="38"/>
      <c r="F273" s="39"/>
      <c r="G273" s="37"/>
      <c r="H273" s="37"/>
      <c r="I273" s="38"/>
      <c r="J273" s="39"/>
      <c r="K273" s="38"/>
      <c r="L273" s="39"/>
      <c r="M273" s="37"/>
      <c r="N273" s="60"/>
      <c r="O273" s="60"/>
      <c r="P273" s="40"/>
      <c r="R273" s="13"/>
      <c r="S273" s="13"/>
      <c r="T273" s="13"/>
    </row>
    <row r="274" spans="1:20" s="25" customFormat="1" x14ac:dyDescent="0.25">
      <c r="A274" s="37"/>
      <c r="B274" s="37"/>
      <c r="C274" s="37"/>
      <c r="D274" s="37"/>
      <c r="E274" s="38"/>
      <c r="F274" s="39"/>
      <c r="G274" s="37"/>
      <c r="H274" s="37"/>
      <c r="I274" s="38"/>
      <c r="J274" s="39"/>
      <c r="K274" s="38"/>
      <c r="L274" s="39"/>
      <c r="M274" s="37"/>
      <c r="N274" s="60"/>
      <c r="O274" s="60"/>
      <c r="P274" s="40"/>
      <c r="R274" s="13"/>
      <c r="S274" s="13"/>
      <c r="T274" s="13"/>
    </row>
    <row r="275" spans="1:20" s="25" customFormat="1" x14ac:dyDescent="0.25">
      <c r="A275" s="37"/>
      <c r="B275" s="37"/>
      <c r="C275" s="37"/>
      <c r="D275" s="37"/>
      <c r="E275" s="38"/>
      <c r="F275" s="39"/>
      <c r="G275" s="37"/>
      <c r="H275" s="37"/>
      <c r="I275" s="38"/>
      <c r="J275" s="39"/>
      <c r="K275" s="38"/>
      <c r="L275" s="39"/>
      <c r="M275" s="37"/>
      <c r="N275" s="60"/>
      <c r="O275" s="60"/>
      <c r="P275" s="40"/>
      <c r="R275" s="13"/>
      <c r="S275" s="13"/>
      <c r="T275" s="13"/>
    </row>
    <row r="276" spans="1:20" s="25" customFormat="1" x14ac:dyDescent="0.25">
      <c r="A276" s="37"/>
      <c r="B276" s="37"/>
      <c r="C276" s="37"/>
      <c r="D276" s="37"/>
      <c r="E276" s="38"/>
      <c r="F276" s="39"/>
      <c r="G276" s="37"/>
      <c r="H276" s="37"/>
      <c r="I276" s="38"/>
      <c r="J276" s="39"/>
      <c r="K276" s="38"/>
      <c r="L276" s="39"/>
      <c r="M276" s="37"/>
      <c r="N276" s="60"/>
      <c r="O276" s="60"/>
      <c r="P276" s="40"/>
      <c r="R276" s="13"/>
      <c r="S276" s="13"/>
      <c r="T276" s="13"/>
    </row>
    <row r="277" spans="1:20" s="25" customFormat="1" x14ac:dyDescent="0.25">
      <c r="A277" s="37"/>
      <c r="B277" s="37"/>
      <c r="C277" s="37"/>
      <c r="D277" s="37"/>
      <c r="E277" s="38"/>
      <c r="F277" s="39"/>
      <c r="G277" s="37"/>
      <c r="H277" s="37"/>
      <c r="I277" s="38"/>
      <c r="J277" s="39"/>
      <c r="K277" s="38"/>
      <c r="L277" s="39"/>
      <c r="M277" s="37"/>
      <c r="N277" s="60"/>
      <c r="O277" s="60"/>
      <c r="P277" s="40"/>
      <c r="R277" s="13"/>
      <c r="S277" s="13"/>
      <c r="T277" s="13"/>
    </row>
    <row r="278" spans="1:20" s="25" customFormat="1" x14ac:dyDescent="0.25">
      <c r="A278" s="37"/>
      <c r="B278" s="37"/>
      <c r="C278" s="37"/>
      <c r="D278" s="37"/>
      <c r="E278" s="38"/>
      <c r="F278" s="39"/>
      <c r="G278" s="37"/>
      <c r="H278" s="37"/>
      <c r="I278" s="38"/>
      <c r="J278" s="39"/>
      <c r="K278" s="38"/>
      <c r="L278" s="39"/>
      <c r="M278" s="37"/>
      <c r="N278" s="60"/>
      <c r="O278" s="60"/>
      <c r="P278" s="40"/>
      <c r="R278" s="13"/>
      <c r="S278" s="13"/>
      <c r="T278" s="13"/>
    </row>
    <row r="279" spans="1:20" s="25" customFormat="1" x14ac:dyDescent="0.25">
      <c r="A279" s="37"/>
      <c r="B279" s="37"/>
      <c r="C279" s="37"/>
      <c r="D279" s="37"/>
      <c r="E279" s="38"/>
      <c r="F279" s="39"/>
      <c r="G279" s="37"/>
      <c r="H279" s="37"/>
      <c r="I279" s="38"/>
      <c r="J279" s="39"/>
      <c r="K279" s="38"/>
      <c r="L279" s="39"/>
      <c r="M279" s="37"/>
      <c r="N279" s="60"/>
      <c r="O279" s="60"/>
      <c r="P279" s="40"/>
      <c r="R279" s="13"/>
      <c r="S279" s="13"/>
      <c r="T279" s="13"/>
    </row>
    <row r="280" spans="1:20" s="25" customFormat="1" x14ac:dyDescent="0.25">
      <c r="A280" s="37"/>
      <c r="B280" s="37"/>
      <c r="C280" s="37"/>
      <c r="D280" s="37"/>
      <c r="E280" s="38"/>
      <c r="F280" s="39"/>
      <c r="G280" s="37"/>
      <c r="H280" s="37"/>
      <c r="I280" s="38"/>
      <c r="J280" s="39"/>
      <c r="K280" s="38"/>
      <c r="L280" s="39"/>
      <c r="M280" s="37"/>
      <c r="N280" s="60"/>
      <c r="O280" s="60"/>
      <c r="P280" s="40"/>
      <c r="R280" s="13"/>
      <c r="S280" s="13"/>
      <c r="T280" s="13"/>
    </row>
    <row r="281" spans="1:20" s="25" customFormat="1" x14ac:dyDescent="0.25">
      <c r="A281" s="37"/>
      <c r="B281" s="37"/>
      <c r="C281" s="37"/>
      <c r="D281" s="37"/>
      <c r="E281" s="38"/>
      <c r="F281" s="39"/>
      <c r="G281" s="37"/>
      <c r="H281" s="37"/>
      <c r="I281" s="38"/>
      <c r="J281" s="39"/>
      <c r="K281" s="38"/>
      <c r="L281" s="39"/>
      <c r="M281" s="37"/>
      <c r="N281" s="60"/>
      <c r="O281" s="60"/>
      <c r="P281" s="40"/>
      <c r="R281" s="13"/>
      <c r="S281" s="13"/>
      <c r="T281" s="13"/>
    </row>
    <row r="282" spans="1:20" s="25" customFormat="1" x14ac:dyDescent="0.25">
      <c r="A282" s="37"/>
      <c r="B282" s="37"/>
      <c r="C282" s="37"/>
      <c r="D282" s="37"/>
      <c r="E282" s="38"/>
      <c r="F282" s="39"/>
      <c r="G282" s="37"/>
      <c r="H282" s="37"/>
      <c r="I282" s="38"/>
      <c r="J282" s="39"/>
      <c r="K282" s="38"/>
      <c r="L282" s="39"/>
      <c r="M282" s="37"/>
      <c r="N282" s="60"/>
      <c r="O282" s="60"/>
      <c r="P282" s="40"/>
      <c r="R282" s="13"/>
      <c r="S282" s="13"/>
      <c r="T282" s="13"/>
    </row>
    <row r="283" spans="1:20" s="25" customFormat="1" x14ac:dyDescent="0.25">
      <c r="A283" s="37"/>
      <c r="B283" s="37"/>
      <c r="C283" s="37"/>
      <c r="D283" s="37"/>
      <c r="E283" s="38"/>
      <c r="F283" s="39"/>
      <c r="G283" s="37"/>
      <c r="H283" s="37"/>
      <c r="I283" s="38"/>
      <c r="J283" s="39"/>
      <c r="K283" s="38"/>
      <c r="L283" s="39"/>
      <c r="M283" s="37"/>
      <c r="N283" s="60"/>
      <c r="O283" s="60"/>
      <c r="P283" s="40"/>
      <c r="R283" s="13"/>
      <c r="S283" s="13"/>
      <c r="T283" s="13"/>
    </row>
    <row r="284" spans="1:20" s="25" customFormat="1" x14ac:dyDescent="0.25">
      <c r="A284" s="37"/>
      <c r="B284" s="37"/>
      <c r="C284" s="37"/>
      <c r="D284" s="37"/>
      <c r="E284" s="38"/>
      <c r="F284" s="39"/>
      <c r="G284" s="37"/>
      <c r="H284" s="37"/>
      <c r="I284" s="38"/>
      <c r="J284" s="39"/>
      <c r="K284" s="38"/>
      <c r="L284" s="39"/>
      <c r="M284" s="37"/>
      <c r="N284" s="60"/>
      <c r="O284" s="60"/>
      <c r="P284" s="40"/>
      <c r="R284" s="13"/>
      <c r="S284" s="13"/>
      <c r="T284" s="13"/>
    </row>
    <row r="285" spans="1:20" s="25" customFormat="1" x14ac:dyDescent="0.25">
      <c r="A285" s="37"/>
      <c r="B285" s="37"/>
      <c r="C285" s="37"/>
      <c r="D285" s="37"/>
      <c r="E285" s="38"/>
      <c r="F285" s="39"/>
      <c r="G285" s="37"/>
      <c r="H285" s="37"/>
      <c r="I285" s="38"/>
      <c r="J285" s="39"/>
      <c r="K285" s="38"/>
      <c r="L285" s="39"/>
      <c r="M285" s="37"/>
      <c r="N285" s="60"/>
      <c r="O285" s="60"/>
      <c r="P285" s="40"/>
      <c r="R285" s="13"/>
      <c r="S285" s="13"/>
      <c r="T285" s="13"/>
    </row>
    <row r="286" spans="1:20" s="25" customFormat="1" x14ac:dyDescent="0.25">
      <c r="A286" s="37"/>
      <c r="B286" s="37"/>
      <c r="C286" s="37"/>
      <c r="D286" s="37"/>
      <c r="E286" s="38"/>
      <c r="F286" s="39"/>
      <c r="G286" s="37"/>
      <c r="H286" s="37"/>
      <c r="I286" s="38"/>
      <c r="J286" s="39"/>
      <c r="K286" s="38"/>
      <c r="L286" s="39"/>
      <c r="M286" s="37"/>
      <c r="N286" s="60"/>
      <c r="O286" s="60"/>
      <c r="P286" s="40"/>
      <c r="R286" s="13"/>
      <c r="S286" s="13"/>
      <c r="T286" s="13"/>
    </row>
    <row r="287" spans="1:20" s="25" customFormat="1" x14ac:dyDescent="0.25">
      <c r="A287" s="37"/>
      <c r="B287" s="37"/>
      <c r="C287" s="37"/>
      <c r="D287" s="37"/>
      <c r="E287" s="38"/>
      <c r="F287" s="39"/>
      <c r="G287" s="37"/>
      <c r="H287" s="37"/>
      <c r="I287" s="38"/>
      <c r="J287" s="39"/>
      <c r="K287" s="38"/>
      <c r="L287" s="39"/>
      <c r="M287" s="37"/>
      <c r="N287" s="60"/>
      <c r="O287" s="60"/>
      <c r="P287" s="40"/>
      <c r="R287" s="13"/>
      <c r="S287" s="13"/>
      <c r="T287" s="13"/>
    </row>
    <row r="288" spans="1:20" s="25" customFormat="1" x14ac:dyDescent="0.25">
      <c r="A288" s="37"/>
      <c r="B288" s="37"/>
      <c r="C288" s="37"/>
      <c r="D288" s="37"/>
      <c r="E288" s="38"/>
      <c r="F288" s="39"/>
      <c r="G288" s="37"/>
      <c r="H288" s="37"/>
      <c r="I288" s="38"/>
      <c r="J288" s="39"/>
      <c r="K288" s="38"/>
      <c r="L288" s="39"/>
      <c r="M288" s="37"/>
      <c r="N288" s="60"/>
      <c r="O288" s="60"/>
      <c r="P288" s="40"/>
      <c r="R288" s="13"/>
      <c r="S288" s="13"/>
      <c r="T288" s="13"/>
    </row>
    <row r="289" spans="1:20" s="25" customFormat="1" x14ac:dyDescent="0.25">
      <c r="A289" s="37"/>
      <c r="B289" s="37"/>
      <c r="C289" s="37"/>
      <c r="D289" s="37"/>
      <c r="E289" s="38"/>
      <c r="F289" s="39"/>
      <c r="G289" s="37"/>
      <c r="H289" s="37"/>
      <c r="I289" s="38"/>
      <c r="J289" s="39"/>
      <c r="K289" s="38"/>
      <c r="L289" s="39"/>
      <c r="M289" s="37"/>
      <c r="N289" s="60"/>
      <c r="O289" s="60"/>
      <c r="P289" s="40"/>
      <c r="R289" s="13"/>
      <c r="S289" s="13"/>
      <c r="T289" s="13"/>
    </row>
    <row r="290" spans="1:20" s="25" customFormat="1" x14ac:dyDescent="0.25">
      <c r="A290" s="37"/>
      <c r="B290" s="37"/>
      <c r="C290" s="37"/>
      <c r="D290" s="37"/>
      <c r="E290" s="38"/>
      <c r="F290" s="39"/>
      <c r="G290" s="37"/>
      <c r="H290" s="37"/>
      <c r="I290" s="38"/>
      <c r="J290" s="39"/>
      <c r="K290" s="38"/>
      <c r="L290" s="39"/>
      <c r="M290" s="37"/>
      <c r="N290" s="60"/>
      <c r="O290" s="60"/>
      <c r="P290" s="40"/>
      <c r="R290" s="13"/>
      <c r="S290" s="13"/>
      <c r="T290" s="13"/>
    </row>
    <row r="291" spans="1:20" s="25" customFormat="1" x14ac:dyDescent="0.25">
      <c r="A291" s="37"/>
      <c r="B291" s="37"/>
      <c r="C291" s="37"/>
      <c r="D291" s="37"/>
      <c r="E291" s="38"/>
      <c r="F291" s="39"/>
      <c r="G291" s="37"/>
      <c r="H291" s="37"/>
      <c r="I291" s="38"/>
      <c r="J291" s="39"/>
      <c r="K291" s="38"/>
      <c r="L291" s="39"/>
      <c r="M291" s="37"/>
      <c r="N291" s="60"/>
      <c r="O291" s="60"/>
      <c r="P291" s="40"/>
      <c r="R291" s="13"/>
      <c r="S291" s="13"/>
      <c r="T291" s="13"/>
    </row>
    <row r="292" spans="1:20" s="25" customFormat="1" x14ac:dyDescent="0.25">
      <c r="A292" s="37"/>
      <c r="B292" s="37"/>
      <c r="C292" s="37"/>
      <c r="D292" s="37"/>
      <c r="E292" s="38"/>
      <c r="F292" s="39"/>
      <c r="G292" s="37"/>
      <c r="H292" s="37"/>
      <c r="I292" s="38"/>
      <c r="J292" s="39"/>
      <c r="K292" s="38"/>
      <c r="L292" s="39"/>
      <c r="M292" s="37"/>
      <c r="N292" s="60"/>
      <c r="O292" s="60"/>
      <c r="P292" s="40"/>
      <c r="R292" s="13"/>
      <c r="S292" s="13"/>
      <c r="T292" s="13"/>
    </row>
    <row r="293" spans="1:20" s="25" customFormat="1" x14ac:dyDescent="0.25">
      <c r="A293" s="37"/>
      <c r="B293" s="37"/>
      <c r="C293" s="37"/>
      <c r="D293" s="37"/>
      <c r="E293" s="38"/>
      <c r="F293" s="39"/>
      <c r="G293" s="37"/>
      <c r="H293" s="37"/>
      <c r="I293" s="38"/>
      <c r="J293" s="39"/>
      <c r="K293" s="38"/>
      <c r="L293" s="39"/>
      <c r="M293" s="37"/>
      <c r="N293" s="60"/>
      <c r="O293" s="60"/>
      <c r="P293" s="40"/>
      <c r="R293" s="13"/>
      <c r="S293" s="13"/>
      <c r="T293" s="13"/>
    </row>
    <row r="294" spans="1:20" s="25" customFormat="1" x14ac:dyDescent="0.25">
      <c r="A294" s="37"/>
      <c r="B294" s="37"/>
      <c r="C294" s="37"/>
      <c r="D294" s="37"/>
      <c r="E294" s="38"/>
      <c r="F294" s="39"/>
      <c r="G294" s="37"/>
      <c r="H294" s="37"/>
      <c r="I294" s="38"/>
      <c r="J294" s="39"/>
      <c r="K294" s="38"/>
      <c r="L294" s="39"/>
      <c r="M294" s="37"/>
      <c r="N294" s="60"/>
      <c r="O294" s="60"/>
      <c r="P294" s="40"/>
      <c r="R294" s="13"/>
      <c r="S294" s="13"/>
      <c r="T294" s="13"/>
    </row>
    <row r="295" spans="1:20" s="25" customFormat="1" x14ac:dyDescent="0.25">
      <c r="A295" s="37"/>
      <c r="B295" s="37"/>
      <c r="C295" s="37"/>
      <c r="D295" s="37"/>
      <c r="E295" s="38"/>
      <c r="F295" s="39"/>
      <c r="G295" s="37"/>
      <c r="H295" s="37"/>
      <c r="I295" s="38"/>
      <c r="J295" s="39"/>
      <c r="K295" s="38"/>
      <c r="L295" s="39"/>
      <c r="M295" s="37"/>
      <c r="N295" s="60"/>
      <c r="O295" s="60"/>
      <c r="P295" s="40"/>
      <c r="R295" s="13"/>
      <c r="S295" s="13"/>
      <c r="T295" s="13"/>
    </row>
    <row r="296" spans="1:20" s="25" customFormat="1" x14ac:dyDescent="0.25">
      <c r="A296" s="37"/>
      <c r="B296" s="37"/>
      <c r="C296" s="37"/>
      <c r="D296" s="37"/>
      <c r="E296" s="38"/>
      <c r="F296" s="39"/>
      <c r="G296" s="37"/>
      <c r="H296" s="37"/>
      <c r="I296" s="38"/>
      <c r="J296" s="39"/>
      <c r="K296" s="38"/>
      <c r="L296" s="39"/>
      <c r="M296" s="37"/>
      <c r="N296" s="60"/>
      <c r="O296" s="60"/>
      <c r="P296" s="40"/>
      <c r="R296" s="13"/>
      <c r="S296" s="13"/>
      <c r="T296" s="13"/>
    </row>
    <row r="297" spans="1:20" s="25" customFormat="1" x14ac:dyDescent="0.25">
      <c r="A297" s="37"/>
      <c r="B297" s="37"/>
      <c r="C297" s="37"/>
      <c r="D297" s="37"/>
      <c r="E297" s="38"/>
      <c r="F297" s="39"/>
      <c r="G297" s="37"/>
      <c r="H297" s="37"/>
      <c r="I297" s="38"/>
      <c r="J297" s="39"/>
      <c r="K297" s="38"/>
      <c r="L297" s="39"/>
      <c r="M297" s="37"/>
      <c r="N297" s="60"/>
      <c r="O297" s="60"/>
      <c r="P297" s="40"/>
      <c r="R297" s="13"/>
      <c r="S297" s="13"/>
      <c r="T297" s="13"/>
    </row>
    <row r="298" spans="1:20" s="25" customFormat="1" x14ac:dyDescent="0.25">
      <c r="A298" s="37"/>
      <c r="B298" s="37"/>
      <c r="C298" s="37"/>
      <c r="D298" s="37"/>
      <c r="E298" s="38"/>
      <c r="F298" s="39"/>
      <c r="G298" s="37"/>
      <c r="H298" s="37"/>
      <c r="I298" s="38"/>
      <c r="J298" s="39"/>
      <c r="K298" s="38"/>
      <c r="L298" s="39"/>
      <c r="M298" s="37"/>
      <c r="N298" s="60"/>
      <c r="O298" s="60"/>
      <c r="P298" s="40"/>
      <c r="R298" s="13"/>
      <c r="S298" s="13"/>
      <c r="T298" s="13"/>
    </row>
    <row r="299" spans="1:20" s="25" customFormat="1" x14ac:dyDescent="0.25">
      <c r="A299" s="37"/>
      <c r="B299" s="37"/>
      <c r="C299" s="37"/>
      <c r="D299" s="37"/>
      <c r="E299" s="38"/>
      <c r="F299" s="39"/>
      <c r="G299" s="37"/>
      <c r="H299" s="37"/>
      <c r="I299" s="38"/>
      <c r="J299" s="39"/>
      <c r="K299" s="38"/>
      <c r="L299" s="39"/>
      <c r="M299" s="37"/>
      <c r="N299" s="60"/>
      <c r="O299" s="60"/>
      <c r="P299" s="40"/>
      <c r="R299" s="13"/>
      <c r="S299" s="13"/>
      <c r="T299" s="13"/>
    </row>
    <row r="300" spans="1:20" s="25" customFormat="1" x14ac:dyDescent="0.25">
      <c r="A300" s="37"/>
      <c r="B300" s="37"/>
      <c r="C300" s="37"/>
      <c r="D300" s="37"/>
      <c r="E300" s="38"/>
      <c r="F300" s="39"/>
      <c r="G300" s="37"/>
      <c r="H300" s="37"/>
      <c r="I300" s="38"/>
      <c r="J300" s="39"/>
      <c r="K300" s="38"/>
      <c r="L300" s="39"/>
      <c r="M300" s="37"/>
      <c r="N300" s="60"/>
      <c r="O300" s="60"/>
      <c r="P300" s="40"/>
      <c r="R300" s="13"/>
      <c r="S300" s="13"/>
      <c r="T300" s="13"/>
    </row>
    <row r="301" spans="1:20" s="25" customFormat="1" x14ac:dyDescent="0.25">
      <c r="A301" s="37"/>
      <c r="B301" s="37"/>
      <c r="C301" s="37"/>
      <c r="D301" s="37"/>
      <c r="E301" s="38"/>
      <c r="F301" s="39"/>
      <c r="G301" s="37"/>
      <c r="H301" s="37"/>
      <c r="I301" s="38"/>
      <c r="J301" s="39"/>
      <c r="K301" s="38"/>
      <c r="L301" s="39"/>
      <c r="M301" s="37"/>
      <c r="N301" s="60"/>
      <c r="O301" s="60"/>
      <c r="P301" s="40"/>
      <c r="R301" s="13"/>
      <c r="S301" s="13"/>
      <c r="T301" s="13"/>
    </row>
    <row r="302" spans="1:20" s="25" customFormat="1" x14ac:dyDescent="0.25">
      <c r="A302" s="37"/>
      <c r="B302" s="37"/>
      <c r="C302" s="37"/>
      <c r="D302" s="37"/>
      <c r="E302" s="38"/>
      <c r="F302" s="39"/>
      <c r="G302" s="37"/>
      <c r="H302" s="37"/>
      <c r="I302" s="38"/>
      <c r="J302" s="39"/>
      <c r="K302" s="38"/>
      <c r="L302" s="39"/>
      <c r="M302" s="37"/>
      <c r="N302" s="60"/>
      <c r="O302" s="60"/>
      <c r="P302" s="40"/>
      <c r="R302" s="13"/>
      <c r="S302" s="13"/>
      <c r="T302" s="13"/>
    </row>
    <row r="303" spans="1:20" s="25" customFormat="1" x14ac:dyDescent="0.25">
      <c r="A303" s="37"/>
      <c r="B303" s="37"/>
      <c r="C303" s="37"/>
      <c r="D303" s="37"/>
      <c r="E303" s="38"/>
      <c r="F303" s="39"/>
      <c r="G303" s="37"/>
      <c r="H303" s="37"/>
      <c r="I303" s="38"/>
      <c r="J303" s="39"/>
      <c r="K303" s="38"/>
      <c r="L303" s="39"/>
      <c r="M303" s="37"/>
      <c r="N303" s="60"/>
      <c r="O303" s="60"/>
      <c r="P303" s="40"/>
      <c r="R303" s="13"/>
      <c r="S303" s="13"/>
      <c r="T303" s="13"/>
    </row>
    <row r="304" spans="1:20" s="25" customFormat="1" x14ac:dyDescent="0.25">
      <c r="A304" s="37"/>
      <c r="B304" s="37"/>
      <c r="C304" s="37"/>
      <c r="D304" s="37"/>
      <c r="E304" s="38"/>
      <c r="F304" s="39"/>
      <c r="G304" s="37"/>
      <c r="H304" s="37"/>
      <c r="I304" s="38"/>
      <c r="J304" s="39"/>
      <c r="K304" s="38"/>
      <c r="L304" s="39"/>
      <c r="M304" s="37"/>
      <c r="N304" s="60"/>
      <c r="O304" s="60"/>
      <c r="P304" s="40"/>
      <c r="R304" s="13"/>
      <c r="S304" s="13"/>
      <c r="T304" s="13"/>
    </row>
    <row r="305" spans="1:20" s="25" customFormat="1" x14ac:dyDescent="0.25">
      <c r="A305" s="37"/>
      <c r="B305" s="37"/>
      <c r="C305" s="37"/>
      <c r="D305" s="37"/>
      <c r="E305" s="38"/>
      <c r="F305" s="39"/>
      <c r="G305" s="37"/>
      <c r="H305" s="37"/>
      <c r="I305" s="38"/>
      <c r="J305" s="39"/>
      <c r="K305" s="38"/>
      <c r="L305" s="39"/>
      <c r="M305" s="37"/>
      <c r="N305" s="60"/>
      <c r="O305" s="60"/>
      <c r="P305" s="40"/>
      <c r="R305" s="13"/>
      <c r="S305" s="13"/>
      <c r="T305" s="13"/>
    </row>
    <row r="306" spans="1:20" s="25" customFormat="1" x14ac:dyDescent="0.25">
      <c r="A306" s="37"/>
      <c r="B306" s="37"/>
      <c r="C306" s="37"/>
      <c r="D306" s="37"/>
      <c r="E306" s="38"/>
      <c r="F306" s="39"/>
      <c r="G306" s="37"/>
      <c r="H306" s="37"/>
      <c r="I306" s="38"/>
      <c r="J306" s="39"/>
      <c r="K306" s="38"/>
      <c r="L306" s="39"/>
      <c r="M306" s="37"/>
      <c r="N306" s="60"/>
      <c r="O306" s="60"/>
      <c r="P306" s="40"/>
      <c r="R306" s="13"/>
      <c r="S306" s="13"/>
      <c r="T306" s="13"/>
    </row>
    <row r="307" spans="1:20" s="25" customFormat="1" x14ac:dyDescent="0.25">
      <c r="A307" s="37"/>
      <c r="B307" s="37"/>
      <c r="C307" s="37"/>
      <c r="D307" s="37"/>
      <c r="E307" s="38"/>
      <c r="F307" s="39"/>
      <c r="G307" s="37"/>
      <c r="H307" s="37"/>
      <c r="I307" s="38"/>
      <c r="J307" s="39"/>
      <c r="K307" s="38"/>
      <c r="L307" s="39"/>
      <c r="M307" s="37"/>
      <c r="N307" s="60"/>
      <c r="O307" s="60"/>
      <c r="P307" s="40"/>
      <c r="R307" s="13"/>
      <c r="S307" s="13"/>
      <c r="T307" s="13"/>
    </row>
    <row r="308" spans="1:20" s="25" customFormat="1" x14ac:dyDescent="0.25">
      <c r="A308" s="37"/>
      <c r="B308" s="37"/>
      <c r="C308" s="37"/>
      <c r="D308" s="37"/>
      <c r="E308" s="38"/>
      <c r="F308" s="39"/>
      <c r="G308" s="37"/>
      <c r="H308" s="37"/>
      <c r="I308" s="38"/>
      <c r="J308" s="39"/>
      <c r="K308" s="38"/>
      <c r="L308" s="39"/>
      <c r="M308" s="37"/>
      <c r="N308" s="60"/>
      <c r="O308" s="60"/>
      <c r="P308" s="40"/>
      <c r="R308" s="13"/>
      <c r="S308" s="13"/>
      <c r="T308" s="13"/>
    </row>
    <row r="309" spans="1:20" s="25" customFormat="1" x14ac:dyDescent="0.25">
      <c r="A309" s="37"/>
      <c r="B309" s="37"/>
      <c r="C309" s="37"/>
      <c r="D309" s="37"/>
      <c r="E309" s="38"/>
      <c r="F309" s="39"/>
      <c r="G309" s="37"/>
      <c r="H309" s="37"/>
      <c r="I309" s="38"/>
      <c r="J309" s="39"/>
      <c r="K309" s="38"/>
      <c r="L309" s="39"/>
      <c r="M309" s="37"/>
      <c r="N309" s="60"/>
      <c r="O309" s="60"/>
      <c r="P309" s="40"/>
      <c r="R309" s="13"/>
      <c r="S309" s="13"/>
      <c r="T309" s="13"/>
    </row>
    <row r="310" spans="1:20" s="25" customFormat="1" x14ac:dyDescent="0.25">
      <c r="A310" s="37"/>
      <c r="B310" s="37"/>
      <c r="C310" s="37"/>
      <c r="D310" s="37"/>
      <c r="E310" s="38"/>
      <c r="F310" s="39"/>
      <c r="G310" s="37"/>
      <c r="H310" s="37"/>
      <c r="I310" s="38"/>
      <c r="J310" s="39"/>
      <c r="K310" s="38"/>
      <c r="L310" s="39"/>
      <c r="M310" s="37"/>
      <c r="N310" s="60"/>
      <c r="O310" s="60"/>
      <c r="P310" s="40"/>
      <c r="R310" s="13"/>
      <c r="S310" s="13"/>
      <c r="T310" s="13"/>
    </row>
    <row r="311" spans="1:20" s="25" customFormat="1" x14ac:dyDescent="0.25">
      <c r="A311" s="37"/>
      <c r="B311" s="37"/>
      <c r="C311" s="37"/>
      <c r="D311" s="37"/>
      <c r="E311" s="38"/>
      <c r="F311" s="39"/>
      <c r="G311" s="37"/>
      <c r="H311" s="37"/>
      <c r="I311" s="38"/>
      <c r="J311" s="39"/>
      <c r="K311" s="38"/>
      <c r="L311" s="39"/>
      <c r="M311" s="37"/>
      <c r="N311" s="60"/>
      <c r="O311" s="60"/>
      <c r="P311" s="40"/>
      <c r="R311" s="13"/>
      <c r="S311" s="13"/>
      <c r="T311" s="13"/>
    </row>
    <row r="312" spans="1:20" s="25" customFormat="1" x14ac:dyDescent="0.25">
      <c r="A312" s="37"/>
      <c r="B312" s="37"/>
      <c r="C312" s="37"/>
      <c r="D312" s="37"/>
      <c r="E312" s="38"/>
      <c r="F312" s="39"/>
      <c r="G312" s="37"/>
      <c r="H312" s="37"/>
      <c r="I312" s="38"/>
      <c r="J312" s="39"/>
      <c r="K312" s="38"/>
      <c r="L312" s="39"/>
      <c r="M312" s="37"/>
      <c r="N312" s="60"/>
      <c r="O312" s="60"/>
      <c r="P312" s="40"/>
      <c r="R312" s="13"/>
      <c r="S312" s="13"/>
      <c r="T312" s="13"/>
    </row>
    <row r="313" spans="1:20" s="25" customFormat="1" x14ac:dyDescent="0.25">
      <c r="A313" s="37"/>
      <c r="B313" s="37"/>
      <c r="C313" s="37"/>
      <c r="D313" s="37"/>
      <c r="E313" s="38"/>
      <c r="F313" s="39"/>
      <c r="G313" s="37"/>
      <c r="H313" s="37"/>
      <c r="I313" s="38"/>
      <c r="J313" s="39"/>
      <c r="K313" s="38"/>
      <c r="L313" s="39"/>
      <c r="M313" s="37"/>
      <c r="N313" s="60"/>
      <c r="O313" s="60"/>
      <c r="P313" s="40"/>
      <c r="R313" s="13"/>
      <c r="S313" s="13"/>
      <c r="T313" s="13"/>
    </row>
    <row r="314" spans="1:20" s="25" customFormat="1" x14ac:dyDescent="0.25">
      <c r="A314" s="37"/>
      <c r="B314" s="37"/>
      <c r="C314" s="37"/>
      <c r="D314" s="37"/>
      <c r="E314" s="38"/>
      <c r="F314" s="39"/>
      <c r="G314" s="37"/>
      <c r="H314" s="37"/>
      <c r="I314" s="38"/>
      <c r="J314" s="39"/>
      <c r="K314" s="38"/>
      <c r="L314" s="39"/>
      <c r="M314" s="37"/>
      <c r="N314" s="60"/>
      <c r="O314" s="60"/>
      <c r="P314" s="40"/>
      <c r="R314" s="13"/>
      <c r="S314" s="13"/>
      <c r="T314" s="13"/>
    </row>
    <row r="315" spans="1:20" s="25" customFormat="1" x14ac:dyDescent="0.25">
      <c r="A315" s="37"/>
      <c r="B315" s="37"/>
      <c r="C315" s="37"/>
      <c r="D315" s="37"/>
      <c r="E315" s="38"/>
      <c r="F315" s="39"/>
      <c r="G315" s="37"/>
      <c r="H315" s="37"/>
      <c r="I315" s="38"/>
      <c r="J315" s="39"/>
      <c r="K315" s="38"/>
      <c r="L315" s="39"/>
      <c r="M315" s="37"/>
      <c r="N315" s="60"/>
      <c r="O315" s="60"/>
      <c r="P315" s="40"/>
      <c r="R315" s="13"/>
      <c r="S315" s="13"/>
      <c r="T315" s="13"/>
    </row>
    <row r="316" spans="1:20" s="25" customFormat="1" x14ac:dyDescent="0.25">
      <c r="A316" s="37"/>
      <c r="B316" s="37"/>
      <c r="C316" s="37"/>
      <c r="D316" s="37"/>
      <c r="E316" s="38"/>
      <c r="F316" s="39"/>
      <c r="G316" s="37"/>
      <c r="H316" s="37"/>
      <c r="I316" s="38"/>
      <c r="J316" s="39"/>
      <c r="K316" s="38"/>
      <c r="L316" s="39"/>
      <c r="M316" s="37"/>
      <c r="N316" s="60"/>
      <c r="O316" s="60"/>
      <c r="P316" s="40"/>
      <c r="R316" s="13"/>
      <c r="S316" s="13"/>
      <c r="T316" s="13"/>
    </row>
    <row r="317" spans="1:20" s="25" customFormat="1" x14ac:dyDescent="0.25">
      <c r="A317" s="37"/>
      <c r="B317" s="37"/>
      <c r="C317" s="37"/>
      <c r="D317" s="37"/>
      <c r="E317" s="38"/>
      <c r="F317" s="39"/>
      <c r="G317" s="37"/>
      <c r="H317" s="37"/>
      <c r="I317" s="38"/>
      <c r="J317" s="39"/>
      <c r="K317" s="38"/>
      <c r="L317" s="39"/>
      <c r="M317" s="37"/>
      <c r="N317" s="60"/>
      <c r="O317" s="60"/>
      <c r="P317" s="40"/>
      <c r="R317" s="13"/>
      <c r="S317" s="13"/>
      <c r="T317" s="13"/>
    </row>
    <row r="318" spans="1:20" s="25" customFormat="1" x14ac:dyDescent="0.25">
      <c r="A318" s="37"/>
      <c r="B318" s="37"/>
      <c r="C318" s="37"/>
      <c r="D318" s="37"/>
      <c r="E318" s="38"/>
      <c r="F318" s="39"/>
      <c r="G318" s="37"/>
      <c r="H318" s="37"/>
      <c r="I318" s="38"/>
      <c r="J318" s="39"/>
      <c r="K318" s="38"/>
      <c r="L318" s="39"/>
      <c r="M318" s="37"/>
      <c r="N318" s="60"/>
      <c r="O318" s="60"/>
      <c r="P318" s="40"/>
      <c r="R318" s="13"/>
      <c r="S318" s="13"/>
      <c r="T318" s="13"/>
    </row>
    <row r="319" spans="1:20" s="25" customFormat="1" x14ac:dyDescent="0.25">
      <c r="A319" s="37"/>
      <c r="B319" s="37"/>
      <c r="C319" s="37"/>
      <c r="D319" s="37"/>
      <c r="E319" s="38"/>
      <c r="F319" s="39"/>
      <c r="G319" s="37"/>
      <c r="H319" s="37"/>
      <c r="I319" s="38"/>
      <c r="J319" s="39"/>
      <c r="K319" s="38"/>
      <c r="L319" s="39"/>
      <c r="M319" s="37"/>
      <c r="N319" s="60"/>
      <c r="O319" s="60"/>
      <c r="P319" s="40"/>
      <c r="R319" s="13"/>
      <c r="S319" s="13"/>
      <c r="T319" s="13"/>
    </row>
    <row r="320" spans="1:20" s="25" customFormat="1" x14ac:dyDescent="0.25">
      <c r="A320" s="37"/>
      <c r="B320" s="37"/>
      <c r="C320" s="37"/>
      <c r="D320" s="37"/>
      <c r="E320" s="38"/>
      <c r="F320" s="39"/>
      <c r="G320" s="37"/>
      <c r="H320" s="37"/>
      <c r="I320" s="38"/>
      <c r="J320" s="39"/>
      <c r="K320" s="38"/>
      <c r="L320" s="39"/>
      <c r="M320" s="37"/>
      <c r="N320" s="60"/>
      <c r="O320" s="60"/>
      <c r="P320" s="40"/>
      <c r="R320" s="13"/>
      <c r="S320" s="13"/>
      <c r="T320" s="13"/>
    </row>
    <row r="321" spans="1:20" s="25" customFormat="1" x14ac:dyDescent="0.25">
      <c r="A321" s="37"/>
      <c r="B321" s="37"/>
      <c r="C321" s="37"/>
      <c r="D321" s="37"/>
      <c r="E321" s="38"/>
      <c r="F321" s="39"/>
      <c r="G321" s="37"/>
      <c r="H321" s="37"/>
      <c r="I321" s="38"/>
      <c r="J321" s="39"/>
      <c r="K321" s="38"/>
      <c r="L321" s="39"/>
      <c r="M321" s="37"/>
      <c r="N321" s="60"/>
      <c r="O321" s="60"/>
      <c r="P321" s="40"/>
      <c r="R321" s="13"/>
      <c r="S321" s="13"/>
      <c r="T321" s="13"/>
    </row>
    <row r="322" spans="1:20" s="25" customFormat="1" x14ac:dyDescent="0.25">
      <c r="A322" s="37"/>
      <c r="B322" s="37"/>
      <c r="C322" s="37"/>
      <c r="D322" s="37"/>
      <c r="E322" s="38"/>
      <c r="F322" s="39"/>
      <c r="G322" s="37"/>
      <c r="H322" s="37"/>
      <c r="I322" s="38"/>
      <c r="J322" s="39"/>
      <c r="K322" s="38"/>
      <c r="L322" s="39"/>
      <c r="M322" s="37"/>
      <c r="N322" s="60"/>
      <c r="O322" s="60"/>
      <c r="P322" s="40"/>
      <c r="R322" s="13"/>
      <c r="S322" s="13"/>
      <c r="T322" s="13"/>
    </row>
    <row r="323" spans="1:20" s="25" customFormat="1" x14ac:dyDescent="0.25">
      <c r="A323" s="37"/>
      <c r="B323" s="37"/>
      <c r="C323" s="37"/>
      <c r="D323" s="37"/>
      <c r="E323" s="38"/>
      <c r="F323" s="39"/>
      <c r="G323" s="37"/>
      <c r="H323" s="37"/>
      <c r="I323" s="38"/>
      <c r="J323" s="39"/>
      <c r="K323" s="38"/>
      <c r="L323" s="39"/>
      <c r="M323" s="37"/>
      <c r="N323" s="60"/>
      <c r="O323" s="60"/>
      <c r="P323" s="40"/>
      <c r="R323" s="13"/>
      <c r="S323" s="13"/>
      <c r="T323" s="13"/>
    </row>
    <row r="324" spans="1:20" s="25" customFormat="1" x14ac:dyDescent="0.25">
      <c r="A324" s="37"/>
      <c r="B324" s="37"/>
      <c r="C324" s="37"/>
      <c r="D324" s="37"/>
      <c r="E324" s="38"/>
      <c r="F324" s="39"/>
      <c r="G324" s="37"/>
      <c r="H324" s="37"/>
      <c r="I324" s="38"/>
      <c r="J324" s="39"/>
      <c r="K324" s="38"/>
      <c r="L324" s="39"/>
      <c r="M324" s="37"/>
      <c r="N324" s="60"/>
      <c r="O324" s="60"/>
      <c r="P324" s="40"/>
      <c r="R324" s="13"/>
      <c r="S324" s="13"/>
      <c r="T324" s="13"/>
    </row>
    <row r="325" spans="1:20" s="25" customFormat="1" x14ac:dyDescent="0.25">
      <c r="A325" s="37"/>
      <c r="B325" s="37"/>
      <c r="C325" s="37"/>
      <c r="D325" s="37"/>
      <c r="E325" s="38"/>
      <c r="F325" s="39"/>
      <c r="G325" s="37"/>
      <c r="H325" s="37"/>
      <c r="I325" s="38"/>
      <c r="J325" s="39"/>
      <c r="K325" s="38"/>
      <c r="L325" s="39"/>
      <c r="M325" s="37"/>
      <c r="N325" s="60"/>
      <c r="O325" s="60"/>
      <c r="P325" s="40"/>
      <c r="R325" s="13"/>
      <c r="S325" s="13"/>
      <c r="T325" s="13"/>
    </row>
    <row r="326" spans="1:20" s="25" customFormat="1" x14ac:dyDescent="0.25">
      <c r="A326" s="37"/>
      <c r="B326" s="37"/>
      <c r="C326" s="37"/>
      <c r="D326" s="37"/>
      <c r="E326" s="38"/>
      <c r="F326" s="39"/>
      <c r="G326" s="37"/>
      <c r="H326" s="37"/>
      <c r="I326" s="38"/>
      <c r="J326" s="39"/>
      <c r="K326" s="38"/>
      <c r="L326" s="39"/>
      <c r="M326" s="37"/>
      <c r="N326" s="60"/>
      <c r="O326" s="60"/>
      <c r="P326" s="40"/>
      <c r="R326" s="13"/>
      <c r="S326" s="13"/>
      <c r="T326" s="13"/>
    </row>
    <row r="327" spans="1:20" s="25" customFormat="1" x14ac:dyDescent="0.25">
      <c r="A327" s="37"/>
      <c r="B327" s="37"/>
      <c r="C327" s="37"/>
      <c r="D327" s="37"/>
      <c r="E327" s="38"/>
      <c r="F327" s="39"/>
      <c r="G327" s="37"/>
      <c r="H327" s="37"/>
      <c r="I327" s="38"/>
      <c r="J327" s="39"/>
      <c r="K327" s="38"/>
      <c r="L327" s="39"/>
      <c r="M327" s="37"/>
      <c r="N327" s="60"/>
      <c r="O327" s="60"/>
      <c r="P327" s="40"/>
      <c r="R327" s="13"/>
      <c r="S327" s="13"/>
      <c r="T327" s="13"/>
    </row>
    <row r="328" spans="1:20" s="25" customFormat="1" x14ac:dyDescent="0.25">
      <c r="A328" s="37"/>
      <c r="B328" s="37"/>
      <c r="C328" s="37"/>
      <c r="D328" s="37"/>
      <c r="E328" s="38"/>
      <c r="F328" s="39"/>
      <c r="G328" s="37"/>
      <c r="H328" s="37"/>
      <c r="I328" s="38"/>
      <c r="J328" s="39"/>
      <c r="K328" s="38"/>
      <c r="L328" s="39"/>
      <c r="M328" s="37"/>
      <c r="N328" s="60"/>
      <c r="O328" s="60"/>
      <c r="P328" s="40"/>
      <c r="R328" s="13"/>
      <c r="S328" s="13"/>
      <c r="T328" s="13"/>
    </row>
    <row r="329" spans="1:20" s="25" customFormat="1" x14ac:dyDescent="0.25">
      <c r="A329" s="37"/>
      <c r="B329" s="37"/>
      <c r="C329" s="37"/>
      <c r="D329" s="37"/>
      <c r="E329" s="38"/>
      <c r="F329" s="39"/>
      <c r="G329" s="37"/>
      <c r="H329" s="37"/>
      <c r="I329" s="38"/>
      <c r="J329" s="39"/>
      <c r="K329" s="38"/>
      <c r="L329" s="39"/>
      <c r="M329" s="37"/>
      <c r="N329" s="60"/>
      <c r="O329" s="60"/>
      <c r="P329" s="40"/>
      <c r="R329" s="13"/>
      <c r="S329" s="13"/>
      <c r="T329" s="13"/>
    </row>
    <row r="330" spans="1:20" s="25" customFormat="1" x14ac:dyDescent="0.25">
      <c r="A330" s="37"/>
      <c r="B330" s="37"/>
      <c r="C330" s="37"/>
      <c r="D330" s="37"/>
      <c r="E330" s="38"/>
      <c r="F330" s="39"/>
      <c r="G330" s="37"/>
      <c r="H330" s="37"/>
      <c r="I330" s="38"/>
      <c r="J330" s="39"/>
      <c r="K330" s="38"/>
      <c r="L330" s="39"/>
      <c r="M330" s="37"/>
      <c r="N330" s="60"/>
      <c r="O330" s="60"/>
      <c r="P330" s="40"/>
      <c r="R330" s="13"/>
      <c r="S330" s="13"/>
      <c r="T330" s="13"/>
    </row>
    <row r="331" spans="1:20" s="25" customFormat="1" x14ac:dyDescent="0.25">
      <c r="A331" s="37"/>
      <c r="B331" s="37"/>
      <c r="C331" s="37"/>
      <c r="D331" s="37"/>
      <c r="E331" s="38"/>
      <c r="F331" s="39"/>
      <c r="G331" s="37"/>
      <c r="H331" s="37"/>
      <c r="I331" s="38"/>
      <c r="J331" s="39"/>
      <c r="K331" s="38"/>
      <c r="L331" s="39"/>
      <c r="M331" s="37"/>
      <c r="N331" s="60"/>
      <c r="O331" s="60"/>
      <c r="P331" s="40"/>
      <c r="R331" s="13"/>
      <c r="S331" s="13"/>
      <c r="T331" s="13"/>
    </row>
    <row r="332" spans="1:20" s="25" customFormat="1" x14ac:dyDescent="0.25">
      <c r="A332" s="37"/>
      <c r="B332" s="37"/>
      <c r="C332" s="37"/>
      <c r="D332" s="37"/>
      <c r="E332" s="38"/>
      <c r="F332" s="39"/>
      <c r="G332" s="37"/>
      <c r="H332" s="37"/>
      <c r="I332" s="38"/>
      <c r="J332" s="39"/>
      <c r="K332" s="38"/>
      <c r="L332" s="39"/>
      <c r="M332" s="37"/>
      <c r="N332" s="60"/>
      <c r="O332" s="60"/>
      <c r="P332" s="40"/>
      <c r="R332" s="13"/>
      <c r="S332" s="13"/>
      <c r="T332" s="13"/>
    </row>
    <row r="333" spans="1:20" s="25" customFormat="1" x14ac:dyDescent="0.25">
      <c r="A333" s="37"/>
      <c r="B333" s="37"/>
      <c r="C333" s="37"/>
      <c r="D333" s="37"/>
      <c r="E333" s="38"/>
      <c r="F333" s="39"/>
      <c r="G333" s="37"/>
      <c r="H333" s="37"/>
      <c r="I333" s="38"/>
      <c r="J333" s="39"/>
      <c r="K333" s="38"/>
      <c r="L333" s="39"/>
      <c r="M333" s="37"/>
      <c r="N333" s="60"/>
      <c r="O333" s="60"/>
      <c r="P333" s="40"/>
      <c r="R333" s="13"/>
      <c r="S333" s="13"/>
      <c r="T333" s="13"/>
    </row>
    <row r="334" spans="1:20" s="25" customFormat="1" x14ac:dyDescent="0.25">
      <c r="A334" s="37"/>
      <c r="B334" s="37"/>
      <c r="C334" s="37"/>
      <c r="D334" s="37"/>
      <c r="E334" s="38"/>
      <c r="F334" s="39"/>
      <c r="G334" s="37"/>
      <c r="H334" s="37"/>
      <c r="I334" s="38"/>
      <c r="J334" s="39"/>
      <c r="K334" s="38"/>
      <c r="L334" s="39"/>
      <c r="M334" s="37"/>
      <c r="N334" s="60"/>
      <c r="O334" s="60"/>
      <c r="P334" s="40"/>
      <c r="R334" s="13"/>
      <c r="S334" s="13"/>
      <c r="T334" s="13"/>
    </row>
    <row r="335" spans="1:20" s="25" customFormat="1" x14ac:dyDescent="0.25">
      <c r="A335" s="37"/>
      <c r="B335" s="37"/>
      <c r="C335" s="37"/>
      <c r="D335" s="37"/>
      <c r="E335" s="38"/>
      <c r="F335" s="39"/>
      <c r="G335" s="37"/>
      <c r="H335" s="37"/>
      <c r="I335" s="38"/>
      <c r="J335" s="39"/>
      <c r="K335" s="38"/>
      <c r="L335" s="39"/>
      <c r="M335" s="37"/>
      <c r="N335" s="60"/>
      <c r="O335" s="60"/>
      <c r="P335" s="40"/>
      <c r="R335" s="13"/>
      <c r="S335" s="13"/>
      <c r="T335" s="13"/>
    </row>
    <row r="336" spans="1:20" s="25" customFormat="1" x14ac:dyDescent="0.25">
      <c r="A336" s="37"/>
      <c r="B336" s="37"/>
      <c r="C336" s="37"/>
      <c r="D336" s="37"/>
      <c r="E336" s="38"/>
      <c r="F336" s="39"/>
      <c r="G336" s="37"/>
      <c r="H336" s="37"/>
      <c r="I336" s="38"/>
      <c r="J336" s="39"/>
      <c r="K336" s="38"/>
      <c r="L336" s="39"/>
      <c r="M336" s="37"/>
      <c r="N336" s="60"/>
      <c r="O336" s="60"/>
      <c r="P336" s="40"/>
      <c r="R336" s="13"/>
      <c r="S336" s="13"/>
      <c r="T336" s="13"/>
    </row>
    <row r="337" spans="1:20" s="25" customFormat="1" x14ac:dyDescent="0.25">
      <c r="A337" s="37"/>
      <c r="B337" s="37"/>
      <c r="C337" s="37"/>
      <c r="D337" s="37"/>
      <c r="E337" s="38"/>
      <c r="F337" s="39"/>
      <c r="G337" s="37"/>
      <c r="H337" s="37"/>
      <c r="I337" s="38"/>
      <c r="J337" s="39"/>
      <c r="K337" s="38"/>
      <c r="L337" s="39"/>
      <c r="M337" s="37"/>
      <c r="N337" s="60"/>
      <c r="O337" s="60"/>
      <c r="P337" s="40"/>
      <c r="R337" s="13"/>
      <c r="S337" s="13"/>
      <c r="T337" s="13"/>
    </row>
    <row r="338" spans="1:20" s="25" customFormat="1" x14ac:dyDescent="0.25">
      <c r="A338" s="37"/>
      <c r="B338" s="37"/>
      <c r="C338" s="37"/>
      <c r="D338" s="37"/>
      <c r="E338" s="38"/>
      <c r="F338" s="39"/>
      <c r="G338" s="37"/>
      <c r="H338" s="37"/>
      <c r="I338" s="38"/>
      <c r="J338" s="39"/>
      <c r="K338" s="38"/>
      <c r="L338" s="39"/>
      <c r="M338" s="37"/>
      <c r="N338" s="60"/>
      <c r="O338" s="60"/>
      <c r="P338" s="40"/>
      <c r="R338" s="13"/>
      <c r="S338" s="13"/>
      <c r="T338" s="13"/>
    </row>
    <row r="339" spans="1:20" s="25" customFormat="1" x14ac:dyDescent="0.25">
      <c r="A339" s="37"/>
      <c r="B339" s="37"/>
      <c r="C339" s="37"/>
      <c r="D339" s="37"/>
      <c r="E339" s="38"/>
      <c r="F339" s="39"/>
      <c r="G339" s="37"/>
      <c r="H339" s="37"/>
      <c r="I339" s="38"/>
      <c r="J339" s="39"/>
      <c r="K339" s="38"/>
      <c r="L339" s="39"/>
      <c r="M339" s="37"/>
      <c r="N339" s="60"/>
      <c r="O339" s="60"/>
      <c r="P339" s="40"/>
      <c r="R339" s="13"/>
      <c r="S339" s="13"/>
      <c r="T339" s="13"/>
    </row>
    <row r="340" spans="1:20" s="25" customFormat="1" x14ac:dyDescent="0.25">
      <c r="A340" s="37"/>
      <c r="B340" s="37"/>
      <c r="C340" s="37"/>
      <c r="D340" s="37"/>
      <c r="E340" s="38"/>
      <c r="F340" s="39"/>
      <c r="G340" s="37"/>
      <c r="H340" s="37"/>
      <c r="I340" s="38"/>
      <c r="J340" s="39"/>
      <c r="K340" s="38"/>
      <c r="L340" s="39"/>
      <c r="M340" s="37"/>
      <c r="N340" s="60"/>
      <c r="O340" s="60"/>
      <c r="P340" s="40"/>
      <c r="R340" s="13"/>
      <c r="S340" s="13"/>
      <c r="T340" s="13"/>
    </row>
    <row r="341" spans="1:20" s="25" customFormat="1" x14ac:dyDescent="0.25">
      <c r="A341" s="37"/>
      <c r="B341" s="37"/>
      <c r="C341" s="37"/>
      <c r="D341" s="37"/>
      <c r="E341" s="38"/>
      <c r="F341" s="39"/>
      <c r="G341" s="37"/>
      <c r="H341" s="37"/>
      <c r="I341" s="38"/>
      <c r="J341" s="39"/>
      <c r="K341" s="38"/>
      <c r="L341" s="39"/>
      <c r="M341" s="37"/>
      <c r="N341" s="60"/>
      <c r="O341" s="60"/>
      <c r="P341" s="40"/>
      <c r="R341" s="13"/>
      <c r="S341" s="13"/>
      <c r="T341" s="13"/>
    </row>
    <row r="342" spans="1:20" s="25" customFormat="1" x14ac:dyDescent="0.25">
      <c r="A342" s="37"/>
      <c r="B342" s="37"/>
      <c r="C342" s="37"/>
      <c r="D342" s="37"/>
      <c r="E342" s="38"/>
      <c r="F342" s="39"/>
      <c r="G342" s="37"/>
      <c r="H342" s="37"/>
      <c r="I342" s="38"/>
      <c r="J342" s="39"/>
      <c r="K342" s="38"/>
      <c r="L342" s="39"/>
      <c r="M342" s="37"/>
      <c r="N342" s="60"/>
      <c r="O342" s="60"/>
      <c r="P342" s="40"/>
      <c r="R342" s="13"/>
      <c r="S342" s="13"/>
      <c r="T342" s="13"/>
    </row>
    <row r="343" spans="1:20" s="25" customFormat="1" x14ac:dyDescent="0.25">
      <c r="A343" s="37"/>
      <c r="B343" s="37"/>
      <c r="C343" s="37"/>
      <c r="D343" s="37"/>
      <c r="E343" s="38"/>
      <c r="F343" s="39"/>
      <c r="G343" s="37"/>
      <c r="H343" s="37"/>
      <c r="I343" s="38"/>
      <c r="J343" s="39"/>
      <c r="K343" s="38"/>
      <c r="L343" s="39"/>
      <c r="M343" s="37"/>
      <c r="N343" s="60"/>
      <c r="O343" s="60"/>
      <c r="P343" s="40"/>
      <c r="R343" s="13"/>
      <c r="S343" s="13"/>
      <c r="T343" s="13"/>
    </row>
    <row r="344" spans="1:20" s="25" customFormat="1" x14ac:dyDescent="0.25">
      <c r="A344" s="37"/>
      <c r="B344" s="37"/>
      <c r="C344" s="37"/>
      <c r="D344" s="37"/>
      <c r="E344" s="38"/>
      <c r="F344" s="39"/>
      <c r="G344" s="37"/>
      <c r="H344" s="37"/>
      <c r="I344" s="38"/>
      <c r="J344" s="39"/>
      <c r="K344" s="38"/>
      <c r="L344" s="39"/>
      <c r="M344" s="37"/>
      <c r="N344" s="60"/>
      <c r="O344" s="60"/>
      <c r="P344" s="40"/>
      <c r="R344" s="13"/>
      <c r="S344" s="13"/>
      <c r="T344" s="13"/>
    </row>
    <row r="345" spans="1:20" s="25" customFormat="1" x14ac:dyDescent="0.25">
      <c r="A345" s="37"/>
      <c r="B345" s="37"/>
      <c r="C345" s="37"/>
      <c r="D345" s="37"/>
      <c r="E345" s="38"/>
      <c r="F345" s="39"/>
      <c r="G345" s="37"/>
      <c r="H345" s="37"/>
      <c r="I345" s="38"/>
      <c r="J345" s="39"/>
      <c r="K345" s="38"/>
      <c r="L345" s="39"/>
      <c r="M345" s="37"/>
      <c r="N345" s="60"/>
      <c r="O345" s="60"/>
      <c r="P345" s="40"/>
      <c r="R345" s="13"/>
      <c r="S345" s="13"/>
      <c r="T345" s="13"/>
    </row>
    <row r="346" spans="1:20" s="25" customFormat="1" x14ac:dyDescent="0.25">
      <c r="A346" s="37"/>
      <c r="B346" s="37"/>
      <c r="C346" s="37"/>
      <c r="D346" s="37"/>
      <c r="E346" s="38"/>
      <c r="F346" s="39"/>
      <c r="G346" s="37"/>
      <c r="H346" s="37"/>
      <c r="I346" s="38"/>
      <c r="J346" s="39"/>
      <c r="K346" s="38"/>
      <c r="L346" s="39"/>
      <c r="M346" s="37"/>
      <c r="N346" s="60"/>
      <c r="O346" s="60"/>
      <c r="P346" s="40"/>
      <c r="R346" s="13"/>
      <c r="S346" s="13"/>
      <c r="T346" s="13"/>
    </row>
    <row r="347" spans="1:20" s="25" customFormat="1" x14ac:dyDescent="0.25">
      <c r="A347" s="37"/>
      <c r="B347" s="37"/>
      <c r="C347" s="37"/>
      <c r="D347" s="37"/>
      <c r="E347" s="38"/>
      <c r="F347" s="39"/>
      <c r="G347" s="37"/>
      <c r="H347" s="37"/>
      <c r="I347" s="38"/>
      <c r="J347" s="39"/>
      <c r="K347" s="38"/>
      <c r="L347" s="39"/>
      <c r="M347" s="37"/>
      <c r="N347" s="60"/>
      <c r="O347" s="60"/>
      <c r="P347" s="40"/>
      <c r="R347" s="13"/>
      <c r="S347" s="13"/>
      <c r="T347" s="13"/>
    </row>
    <row r="348" spans="1:20" s="25" customFormat="1" x14ac:dyDescent="0.25">
      <c r="A348" s="37"/>
      <c r="B348" s="37"/>
      <c r="C348" s="37"/>
      <c r="D348" s="37"/>
      <c r="E348" s="38"/>
      <c r="F348" s="39"/>
      <c r="G348" s="37"/>
      <c r="H348" s="37"/>
      <c r="I348" s="38"/>
      <c r="J348" s="39"/>
      <c r="K348" s="38"/>
      <c r="L348" s="39"/>
      <c r="M348" s="37"/>
      <c r="N348" s="60"/>
      <c r="O348" s="60"/>
      <c r="P348" s="40"/>
      <c r="R348" s="13"/>
      <c r="S348" s="13"/>
      <c r="T348" s="13"/>
    </row>
    <row r="349" spans="1:20" s="25" customFormat="1" x14ac:dyDescent="0.25">
      <c r="A349" s="37"/>
      <c r="B349" s="37"/>
      <c r="C349" s="37"/>
      <c r="D349" s="37"/>
      <c r="E349" s="38"/>
      <c r="F349" s="39"/>
      <c r="G349" s="37"/>
      <c r="H349" s="37"/>
      <c r="I349" s="38"/>
      <c r="J349" s="39"/>
      <c r="K349" s="38"/>
      <c r="L349" s="39"/>
      <c r="M349" s="37"/>
      <c r="N349" s="60"/>
      <c r="O349" s="60"/>
      <c r="P349" s="40"/>
      <c r="R349" s="13"/>
      <c r="S349" s="13"/>
      <c r="T349" s="13"/>
    </row>
    <row r="350" spans="1:20" s="25" customFormat="1" x14ac:dyDescent="0.25">
      <c r="A350" s="37"/>
      <c r="B350" s="37"/>
      <c r="C350" s="37"/>
      <c r="D350" s="37"/>
      <c r="E350" s="38"/>
      <c r="F350" s="39"/>
      <c r="G350" s="37"/>
      <c r="H350" s="37"/>
      <c r="I350" s="38"/>
      <c r="J350" s="39"/>
      <c r="K350" s="38"/>
      <c r="L350" s="39"/>
      <c r="M350" s="37"/>
      <c r="N350" s="60"/>
      <c r="O350" s="60"/>
      <c r="P350" s="40"/>
      <c r="R350" s="13"/>
      <c r="S350" s="13"/>
      <c r="T350" s="13"/>
    </row>
    <row r="351" spans="1:20" s="25" customFormat="1" x14ac:dyDescent="0.25">
      <c r="A351" s="37"/>
      <c r="B351" s="37"/>
      <c r="C351" s="37"/>
      <c r="D351" s="37"/>
      <c r="E351" s="38"/>
      <c r="F351" s="39"/>
      <c r="G351" s="37"/>
      <c r="H351" s="37"/>
      <c r="I351" s="38"/>
      <c r="J351" s="39"/>
      <c r="K351" s="38"/>
      <c r="L351" s="39"/>
      <c r="M351" s="37"/>
      <c r="N351" s="60"/>
      <c r="O351" s="60"/>
      <c r="P351" s="40"/>
      <c r="R351" s="13"/>
      <c r="S351" s="13"/>
      <c r="T351" s="13"/>
    </row>
    <row r="352" spans="1:20" s="25" customFormat="1" x14ac:dyDescent="0.25">
      <c r="A352" s="37"/>
      <c r="B352" s="37"/>
      <c r="C352" s="37"/>
      <c r="D352" s="37"/>
      <c r="E352" s="38"/>
      <c r="F352" s="39"/>
      <c r="G352" s="37"/>
      <c r="H352" s="37"/>
      <c r="I352" s="38"/>
      <c r="J352" s="39"/>
      <c r="K352" s="38"/>
      <c r="L352" s="39"/>
      <c r="M352" s="37"/>
      <c r="N352" s="60"/>
      <c r="O352" s="60"/>
      <c r="P352" s="40"/>
      <c r="R352" s="13"/>
      <c r="S352" s="13"/>
      <c r="T352" s="13"/>
    </row>
    <row r="353" spans="1:20" s="25" customFormat="1" x14ac:dyDescent="0.25">
      <c r="A353" s="37"/>
      <c r="B353" s="37"/>
      <c r="C353" s="37"/>
      <c r="D353" s="37"/>
      <c r="E353" s="38"/>
      <c r="F353" s="39"/>
      <c r="G353" s="37"/>
      <c r="H353" s="37"/>
      <c r="I353" s="38"/>
      <c r="J353" s="39"/>
      <c r="K353" s="38"/>
      <c r="L353" s="39"/>
      <c r="M353" s="37"/>
      <c r="N353" s="60"/>
      <c r="O353" s="60"/>
      <c r="P353" s="40"/>
      <c r="R353" s="13"/>
      <c r="S353" s="13"/>
      <c r="T353" s="13"/>
    </row>
    <row r="354" spans="1:20" s="25" customFormat="1" x14ac:dyDescent="0.25">
      <c r="A354" s="37"/>
      <c r="B354" s="37"/>
      <c r="C354" s="37"/>
      <c r="D354" s="37"/>
      <c r="E354" s="38"/>
      <c r="F354" s="39"/>
      <c r="G354" s="37"/>
      <c r="H354" s="37"/>
      <c r="I354" s="38"/>
      <c r="J354" s="39"/>
      <c r="K354" s="38"/>
      <c r="L354" s="39"/>
      <c r="M354" s="37"/>
      <c r="N354" s="60"/>
      <c r="O354" s="60"/>
      <c r="P354" s="40"/>
      <c r="R354" s="13"/>
      <c r="S354" s="13"/>
      <c r="T354" s="13"/>
    </row>
    <row r="355" spans="1:20" s="25" customFormat="1" x14ac:dyDescent="0.25">
      <c r="A355" s="37"/>
      <c r="B355" s="37"/>
      <c r="C355" s="37"/>
      <c r="D355" s="37"/>
      <c r="E355" s="38"/>
      <c r="F355" s="39"/>
      <c r="G355" s="37"/>
      <c r="H355" s="37"/>
      <c r="I355" s="38"/>
      <c r="J355" s="39"/>
      <c r="K355" s="38"/>
      <c r="L355" s="39"/>
      <c r="M355" s="37"/>
      <c r="N355" s="60"/>
      <c r="O355" s="60"/>
      <c r="P355" s="40"/>
      <c r="R355" s="13"/>
      <c r="S355" s="13"/>
      <c r="T355" s="13"/>
    </row>
    <row r="356" spans="1:20" s="25" customFormat="1" x14ac:dyDescent="0.25">
      <c r="A356" s="37"/>
      <c r="B356" s="37"/>
      <c r="C356" s="37"/>
      <c r="D356" s="37"/>
      <c r="E356" s="38"/>
      <c r="F356" s="39"/>
      <c r="G356" s="37"/>
      <c r="H356" s="37"/>
      <c r="I356" s="38"/>
      <c r="J356" s="39"/>
      <c r="K356" s="38"/>
      <c r="L356" s="39"/>
      <c r="M356" s="37"/>
      <c r="N356" s="60"/>
      <c r="O356" s="60"/>
      <c r="P356" s="40"/>
      <c r="R356" s="13"/>
      <c r="S356" s="13"/>
      <c r="T356" s="13"/>
    </row>
    <row r="357" spans="1:20" s="25" customFormat="1" x14ac:dyDescent="0.25">
      <c r="A357" s="37"/>
      <c r="B357" s="37"/>
      <c r="C357" s="37"/>
      <c r="D357" s="37"/>
      <c r="E357" s="38"/>
      <c r="F357" s="39"/>
      <c r="G357" s="37"/>
      <c r="H357" s="37"/>
      <c r="I357" s="38"/>
      <c r="J357" s="39"/>
      <c r="K357" s="38"/>
      <c r="L357" s="39"/>
      <c r="M357" s="37"/>
      <c r="N357" s="60"/>
      <c r="O357" s="60"/>
      <c r="P357" s="40"/>
      <c r="R357" s="13"/>
      <c r="S357" s="13"/>
      <c r="T357" s="13"/>
    </row>
    <row r="358" spans="1:20" s="25" customFormat="1" x14ac:dyDescent="0.25">
      <c r="A358" s="37"/>
      <c r="B358" s="37"/>
      <c r="C358" s="37"/>
      <c r="D358" s="37"/>
      <c r="E358" s="38"/>
      <c r="F358" s="39"/>
      <c r="G358" s="37"/>
      <c r="H358" s="37"/>
      <c r="I358" s="38"/>
      <c r="J358" s="39"/>
      <c r="K358" s="38"/>
      <c r="L358" s="39"/>
      <c r="M358" s="37"/>
      <c r="N358" s="60"/>
      <c r="O358" s="60"/>
      <c r="P358" s="40"/>
      <c r="R358" s="13"/>
      <c r="S358" s="13"/>
      <c r="T358" s="13"/>
    </row>
    <row r="359" spans="1:20" s="25" customFormat="1" x14ac:dyDescent="0.25">
      <c r="A359" s="37"/>
      <c r="B359" s="37"/>
      <c r="C359" s="37"/>
      <c r="D359" s="37"/>
      <c r="E359" s="38"/>
      <c r="F359" s="39"/>
      <c r="G359" s="37"/>
      <c r="H359" s="37"/>
      <c r="I359" s="38"/>
      <c r="J359" s="39"/>
      <c r="K359" s="38"/>
      <c r="L359" s="39"/>
      <c r="M359" s="37"/>
      <c r="N359" s="60"/>
      <c r="O359" s="60"/>
      <c r="P359" s="40"/>
      <c r="R359" s="13"/>
      <c r="S359" s="13"/>
      <c r="T359" s="13"/>
    </row>
    <row r="360" spans="1:20" s="25" customFormat="1" x14ac:dyDescent="0.25">
      <c r="A360" s="37"/>
      <c r="B360" s="37"/>
      <c r="C360" s="37"/>
      <c r="D360" s="37"/>
      <c r="E360" s="38"/>
      <c r="F360" s="39"/>
      <c r="G360" s="37"/>
      <c r="H360" s="37"/>
      <c r="I360" s="38"/>
      <c r="J360" s="39"/>
      <c r="K360" s="38"/>
      <c r="L360" s="39"/>
      <c r="M360" s="37"/>
      <c r="N360" s="60"/>
      <c r="O360" s="60"/>
      <c r="P360" s="40"/>
      <c r="R360" s="13"/>
      <c r="S360" s="13"/>
      <c r="T360" s="13"/>
    </row>
    <row r="361" spans="1:20" s="25" customFormat="1" x14ac:dyDescent="0.25">
      <c r="A361" s="37"/>
      <c r="B361" s="37"/>
      <c r="C361" s="37"/>
      <c r="D361" s="37"/>
      <c r="E361" s="38"/>
      <c r="F361" s="39"/>
      <c r="G361" s="37"/>
      <c r="H361" s="37"/>
      <c r="I361" s="38"/>
      <c r="J361" s="39"/>
      <c r="K361" s="38"/>
      <c r="L361" s="39"/>
      <c r="M361" s="37"/>
      <c r="N361" s="60"/>
      <c r="O361" s="60"/>
      <c r="P361" s="40"/>
      <c r="R361" s="13"/>
      <c r="S361" s="13"/>
      <c r="T361" s="13"/>
    </row>
    <row r="362" spans="1:20" s="25" customFormat="1" x14ac:dyDescent="0.25">
      <c r="A362" s="37"/>
      <c r="B362" s="37"/>
      <c r="C362" s="37"/>
      <c r="D362" s="37"/>
      <c r="E362" s="38"/>
      <c r="F362" s="39"/>
      <c r="G362" s="37"/>
      <c r="H362" s="37"/>
      <c r="I362" s="38"/>
      <c r="J362" s="39"/>
      <c r="K362" s="38"/>
      <c r="L362" s="39"/>
      <c r="M362" s="37"/>
      <c r="N362" s="60"/>
      <c r="O362" s="60"/>
      <c r="P362" s="40"/>
      <c r="R362" s="13"/>
      <c r="S362" s="13"/>
      <c r="T362" s="13"/>
    </row>
    <row r="363" spans="1:20" s="25" customFormat="1" x14ac:dyDescent="0.25">
      <c r="A363" s="37"/>
      <c r="B363" s="37"/>
      <c r="C363" s="37"/>
      <c r="D363" s="37"/>
      <c r="E363" s="38"/>
      <c r="F363" s="39"/>
      <c r="G363" s="37"/>
      <c r="H363" s="37"/>
      <c r="I363" s="38"/>
      <c r="J363" s="39"/>
      <c r="K363" s="38"/>
      <c r="L363" s="39"/>
      <c r="M363" s="37"/>
      <c r="N363" s="60"/>
      <c r="O363" s="60"/>
      <c r="P363" s="40"/>
      <c r="R363" s="13"/>
      <c r="S363" s="13"/>
      <c r="T363" s="13"/>
    </row>
    <row r="364" spans="1:20" s="25" customFormat="1" x14ac:dyDescent="0.25">
      <c r="A364" s="37"/>
      <c r="B364" s="37"/>
      <c r="C364" s="37"/>
      <c r="D364" s="37"/>
      <c r="E364" s="38"/>
      <c r="F364" s="39"/>
      <c r="G364" s="37"/>
      <c r="H364" s="37"/>
      <c r="I364" s="38"/>
      <c r="J364" s="39"/>
      <c r="K364" s="38"/>
      <c r="L364" s="39"/>
      <c r="M364" s="37"/>
      <c r="N364" s="60"/>
      <c r="O364" s="60"/>
      <c r="P364" s="40"/>
      <c r="R364" s="13"/>
      <c r="S364" s="13"/>
      <c r="T364" s="13"/>
    </row>
    <row r="365" spans="1:20" s="25" customFormat="1" x14ac:dyDescent="0.25">
      <c r="A365" s="37"/>
      <c r="B365" s="37"/>
      <c r="C365" s="37"/>
      <c r="D365" s="37"/>
      <c r="E365" s="38"/>
      <c r="F365" s="39"/>
      <c r="G365" s="37"/>
      <c r="H365" s="37"/>
      <c r="I365" s="38"/>
      <c r="J365" s="39"/>
      <c r="K365" s="38"/>
      <c r="L365" s="39"/>
      <c r="M365" s="37"/>
      <c r="N365" s="60"/>
      <c r="O365" s="60"/>
      <c r="P365" s="40"/>
      <c r="R365" s="13"/>
      <c r="S365" s="13"/>
      <c r="T365" s="13"/>
    </row>
    <row r="366" spans="1:20" s="25" customFormat="1" x14ac:dyDescent="0.25">
      <c r="A366" s="37"/>
      <c r="B366" s="37"/>
      <c r="C366" s="37"/>
      <c r="D366" s="37"/>
      <c r="E366" s="38"/>
      <c r="F366" s="39"/>
      <c r="G366" s="37"/>
      <c r="H366" s="37"/>
      <c r="I366" s="38"/>
      <c r="J366" s="39"/>
      <c r="K366" s="38"/>
      <c r="L366" s="39"/>
      <c r="M366" s="37"/>
      <c r="N366" s="60"/>
      <c r="O366" s="60"/>
      <c r="P366" s="40"/>
      <c r="R366" s="13"/>
      <c r="S366" s="13"/>
      <c r="T366" s="13"/>
    </row>
    <row r="367" spans="1:20" s="25" customFormat="1" x14ac:dyDescent="0.25">
      <c r="A367" s="37"/>
      <c r="B367" s="37"/>
      <c r="C367" s="37"/>
      <c r="D367" s="37"/>
      <c r="E367" s="38"/>
      <c r="F367" s="39"/>
      <c r="G367" s="37"/>
      <c r="H367" s="37"/>
      <c r="I367" s="38"/>
      <c r="J367" s="39"/>
      <c r="K367" s="38"/>
      <c r="L367" s="39"/>
      <c r="M367" s="37"/>
      <c r="N367" s="60"/>
      <c r="O367" s="60"/>
      <c r="P367" s="40"/>
      <c r="R367" s="13"/>
      <c r="S367" s="13"/>
      <c r="T367" s="13"/>
    </row>
    <row r="368" spans="1:20" s="25" customFormat="1" x14ac:dyDescent="0.25">
      <c r="A368" s="37"/>
      <c r="B368" s="37"/>
      <c r="C368" s="37"/>
      <c r="D368" s="37"/>
      <c r="E368" s="38"/>
      <c r="F368" s="39"/>
      <c r="G368" s="37"/>
      <c r="H368" s="37"/>
      <c r="I368" s="38"/>
      <c r="J368" s="39"/>
      <c r="K368" s="38"/>
      <c r="L368" s="39"/>
      <c r="M368" s="37"/>
      <c r="N368" s="60"/>
      <c r="O368" s="60"/>
      <c r="P368" s="40"/>
      <c r="R368" s="13"/>
      <c r="S368" s="13"/>
      <c r="T368" s="13"/>
    </row>
  </sheetData>
  <conditionalFormatting sqref="A5:P14 A15:C16 A17:P28 A29:C30 A31:P42 A43:C44 A45:P53 A54:C55 A56:P68 A69:C70 A71:P74">
    <cfRule type="expression" dxfId="14" priority="1">
      <formula>SEARCH("NO2.",#REF!)</formula>
    </cfRule>
    <cfRule type="expression" dxfId="13" priority="2">
      <formula>SEARCH("DREC",#REF!)</formula>
    </cfRule>
    <cfRule type="expression" dxfId="12" priority="3">
      <formula>SEARCH("OH.",#REF!)</formula>
    </cfRule>
    <cfRule type="expression" dxfId="11" priority="4">
      <formula>SEARCH("NO.",#REF!)</formula>
    </cfRule>
    <cfRule type="expression" dxfId="10" priority="5">
      <formula>SEARCH("NO2-NO3",#REF!)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0"/>
  </sheetPr>
  <dimension ref="A1:F2314"/>
  <sheetViews>
    <sheetView zoomScaleNormal="100" workbookViewId="0">
      <selection activeCell="F32" sqref="F32:F33"/>
    </sheetView>
  </sheetViews>
  <sheetFormatPr defaultRowHeight="15" x14ac:dyDescent="0.25"/>
  <cols>
    <col min="1" max="6" width="25.375" customWidth="1"/>
    <col min="7" max="7" width="9.125" bestFit="1" customWidth="1"/>
  </cols>
  <sheetData>
    <row r="1" spans="1:6" s="13" customFormat="1" ht="18" customHeight="1" x14ac:dyDescent="0.25">
      <c r="A1" s="35" t="s">
        <v>1468</v>
      </c>
      <c r="B1" s="35" t="s">
        <v>1469</v>
      </c>
      <c r="C1" s="35" t="s">
        <v>1470</v>
      </c>
      <c r="D1" s="35" t="s">
        <v>1463</v>
      </c>
      <c r="E1" s="35" t="s">
        <v>1467</v>
      </c>
      <c r="F1" s="35"/>
    </row>
    <row r="2" spans="1:6" s="13" customFormat="1" ht="18" customHeight="1" x14ac:dyDescent="0.25">
      <c r="A2" s="13">
        <v>1</v>
      </c>
      <c r="B2" s="13">
        <v>3</v>
      </c>
      <c r="C2" s="13" t="s">
        <v>1455</v>
      </c>
      <c r="D2" s="13">
        <v>140</v>
      </c>
      <c r="E2" s="13" t="s">
        <v>1498</v>
      </c>
    </row>
    <row r="3" spans="1:6" s="13" customFormat="1" ht="18" customHeight="1" x14ac:dyDescent="0.25">
      <c r="A3" s="13">
        <v>2</v>
      </c>
      <c r="B3" s="13">
        <v>3</v>
      </c>
      <c r="C3" s="13" t="s">
        <v>1455</v>
      </c>
      <c r="D3" s="13">
        <v>140</v>
      </c>
      <c r="E3" s="13" t="s">
        <v>1498</v>
      </c>
    </row>
    <row r="4" spans="1:6" s="13" customFormat="1" ht="18" customHeight="1" x14ac:dyDescent="0.25">
      <c r="A4" s="13">
        <v>3</v>
      </c>
      <c r="B4" s="13">
        <v>4</v>
      </c>
      <c r="C4" s="13" t="s">
        <v>1455</v>
      </c>
      <c r="D4" s="13">
        <v>140</v>
      </c>
      <c r="E4" s="13" t="s">
        <v>1498</v>
      </c>
    </row>
    <row r="5" spans="1:6" s="13" customFormat="1" ht="18" customHeight="1" x14ac:dyDescent="0.25">
      <c r="A5" s="13">
        <v>3</v>
      </c>
      <c r="B5" s="13">
        <v>5</v>
      </c>
      <c r="C5" s="13" t="s">
        <v>1455</v>
      </c>
      <c r="D5" s="13">
        <v>140</v>
      </c>
      <c r="E5" s="13" t="s">
        <v>1498</v>
      </c>
    </row>
    <row r="6" spans="1:6" s="13" customFormat="1" ht="18" customHeight="1" x14ac:dyDescent="0.25">
      <c r="A6" s="13">
        <v>1</v>
      </c>
      <c r="B6" s="13">
        <v>8</v>
      </c>
      <c r="C6" s="13" t="s">
        <v>1455</v>
      </c>
      <c r="D6" s="13">
        <v>140</v>
      </c>
      <c r="E6" s="13" t="s">
        <v>1493</v>
      </c>
    </row>
    <row r="7" spans="1:6" s="13" customFormat="1" ht="18" customHeight="1" x14ac:dyDescent="0.25">
      <c r="A7" s="13">
        <v>7</v>
      </c>
      <c r="B7" s="13">
        <v>8</v>
      </c>
      <c r="C7" s="13" t="s">
        <v>1455</v>
      </c>
      <c r="D7" s="13">
        <v>140</v>
      </c>
      <c r="E7" s="13" t="s">
        <v>1493</v>
      </c>
    </row>
    <row r="8" spans="1:6" s="13" customFormat="1" ht="18" customHeight="1" x14ac:dyDescent="0.25">
      <c r="A8" s="13">
        <v>8</v>
      </c>
      <c r="B8" s="13">
        <v>9</v>
      </c>
      <c r="C8" s="13" t="s">
        <v>1455</v>
      </c>
      <c r="D8" s="13">
        <v>140</v>
      </c>
      <c r="E8" s="13" t="s">
        <v>1493</v>
      </c>
    </row>
    <row r="9" spans="1:6" s="13" customFormat="1" ht="18" customHeight="1" x14ac:dyDescent="0.25">
      <c r="A9" s="13">
        <v>8</v>
      </c>
      <c r="B9" s="13">
        <v>10</v>
      </c>
      <c r="C9" s="13" t="s">
        <v>1455</v>
      </c>
      <c r="D9" s="13">
        <v>140</v>
      </c>
      <c r="E9" s="13" t="s">
        <v>1493</v>
      </c>
    </row>
    <row r="10" spans="1:6" s="13" customFormat="1" ht="18" customHeight="1" x14ac:dyDescent="0.25">
      <c r="A10" s="13">
        <v>11</v>
      </c>
      <c r="B10" s="13">
        <v>13</v>
      </c>
      <c r="C10" s="13" t="s">
        <v>1455</v>
      </c>
      <c r="D10" s="13">
        <v>1</v>
      </c>
      <c r="E10" s="13" t="s">
        <v>1498</v>
      </c>
    </row>
    <row r="11" spans="1:6" s="13" customFormat="1" ht="18" customHeight="1" x14ac:dyDescent="0.25">
      <c r="A11" s="13">
        <v>12</v>
      </c>
      <c r="B11" s="13">
        <v>13</v>
      </c>
      <c r="C11" s="13" t="s">
        <v>1455</v>
      </c>
      <c r="D11" s="13">
        <v>1</v>
      </c>
      <c r="E11" s="13" t="s">
        <v>1498</v>
      </c>
    </row>
    <row r="12" spans="1:6" s="13" customFormat="1" ht="18" customHeight="1" x14ac:dyDescent="0.25">
      <c r="A12" s="13">
        <v>13</v>
      </c>
      <c r="B12" s="13">
        <v>9</v>
      </c>
      <c r="C12" s="13" t="s">
        <v>1455</v>
      </c>
      <c r="D12" s="13">
        <v>1</v>
      </c>
      <c r="E12" s="13" t="s">
        <v>1498</v>
      </c>
    </row>
    <row r="13" spans="1:6" s="13" customFormat="1" ht="18" customHeight="1" x14ac:dyDescent="0.25">
      <c r="A13" s="13">
        <v>13</v>
      </c>
      <c r="B13" s="13">
        <v>5</v>
      </c>
      <c r="C13" s="13" t="s">
        <v>1455</v>
      </c>
      <c r="D13" s="13">
        <v>1</v>
      </c>
      <c r="E13" s="13" t="s">
        <v>1498</v>
      </c>
    </row>
    <row r="14" spans="1:6" s="13" customFormat="1" ht="18" customHeight="1" x14ac:dyDescent="0.25">
      <c r="A14" s="13">
        <v>13</v>
      </c>
      <c r="B14" s="13">
        <v>16</v>
      </c>
      <c r="C14" s="13" t="s">
        <v>1455</v>
      </c>
      <c r="D14" s="13">
        <v>1</v>
      </c>
      <c r="E14" s="13" t="s">
        <v>1498</v>
      </c>
    </row>
    <row r="15" spans="1:6" s="13" customFormat="1" ht="18" customHeight="1" x14ac:dyDescent="0.25">
      <c r="A15" s="13">
        <v>17</v>
      </c>
      <c r="B15" s="13">
        <v>19</v>
      </c>
      <c r="C15" s="13" t="s">
        <v>1455</v>
      </c>
      <c r="D15" s="13">
        <v>86.08108877515852</v>
      </c>
      <c r="E15" s="13" t="s">
        <v>1492</v>
      </c>
    </row>
    <row r="16" spans="1:6" s="13" customFormat="1" ht="18" customHeight="1" x14ac:dyDescent="0.25">
      <c r="A16" s="13">
        <v>5</v>
      </c>
      <c r="B16" s="13">
        <v>19</v>
      </c>
      <c r="C16" s="13" t="s">
        <v>1455</v>
      </c>
      <c r="D16" s="13">
        <v>86.08108877515852</v>
      </c>
      <c r="E16" s="13" t="s">
        <v>1492</v>
      </c>
    </row>
    <row r="17" spans="1:5" s="13" customFormat="1" ht="18" customHeight="1" x14ac:dyDescent="0.25">
      <c r="A17" s="13">
        <v>19</v>
      </c>
      <c r="B17" s="13">
        <v>9</v>
      </c>
      <c r="C17" s="13" t="s">
        <v>1455</v>
      </c>
      <c r="D17" s="13">
        <v>86.08108877515852</v>
      </c>
      <c r="E17" s="13" t="s">
        <v>1492</v>
      </c>
    </row>
    <row r="18" spans="1:5" s="13" customFormat="1" ht="18" customHeight="1" x14ac:dyDescent="0.25">
      <c r="A18" s="13">
        <v>19</v>
      </c>
      <c r="B18" s="13">
        <v>21</v>
      </c>
      <c r="C18" s="13" t="s">
        <v>1455</v>
      </c>
      <c r="D18" s="13">
        <v>86.08108877515852</v>
      </c>
      <c r="E18" s="13" t="s">
        <v>1492</v>
      </c>
    </row>
    <row r="19" spans="1:5" s="13" customFormat="1" ht="18" customHeight="1" x14ac:dyDescent="0.25">
      <c r="A19" s="13">
        <v>17</v>
      </c>
      <c r="B19" s="13">
        <v>24</v>
      </c>
      <c r="C19" s="13" t="s">
        <v>1455</v>
      </c>
      <c r="D19" s="13">
        <v>217.22705155619067</v>
      </c>
      <c r="E19" s="13" t="s">
        <v>1492</v>
      </c>
    </row>
    <row r="20" spans="1:5" s="13" customFormat="1" ht="18" customHeight="1" x14ac:dyDescent="0.25">
      <c r="A20" s="13">
        <v>23</v>
      </c>
      <c r="B20" s="13">
        <v>24</v>
      </c>
      <c r="C20" s="13" t="s">
        <v>1455</v>
      </c>
      <c r="D20" s="13">
        <v>217.22705155619067</v>
      </c>
      <c r="E20" s="13" t="s">
        <v>1492</v>
      </c>
    </row>
    <row r="21" spans="1:5" s="13" customFormat="1" ht="18" customHeight="1" x14ac:dyDescent="0.25">
      <c r="A21" s="13">
        <v>24</v>
      </c>
      <c r="B21" s="13">
        <v>5</v>
      </c>
      <c r="C21" s="13" t="s">
        <v>1455</v>
      </c>
      <c r="D21" s="13">
        <v>217.22705155619067</v>
      </c>
      <c r="E21" s="13" t="s">
        <v>1492</v>
      </c>
    </row>
    <row r="22" spans="1:5" s="13" customFormat="1" ht="18" customHeight="1" x14ac:dyDescent="0.25">
      <c r="A22" s="13">
        <v>24</v>
      </c>
      <c r="B22" s="13">
        <v>26</v>
      </c>
      <c r="C22" s="13" t="s">
        <v>1455</v>
      </c>
      <c r="D22" s="13">
        <v>217.22705155619067</v>
      </c>
      <c r="E22" s="13" t="s">
        <v>1492</v>
      </c>
    </row>
    <row r="23" spans="1:5" s="13" customFormat="1" ht="18" customHeight="1" x14ac:dyDescent="0.25">
      <c r="A23" s="13">
        <v>27</v>
      </c>
      <c r="B23" s="13">
        <v>29</v>
      </c>
      <c r="C23" s="13" t="s">
        <v>1455</v>
      </c>
      <c r="D23" s="13">
        <v>1000</v>
      </c>
      <c r="E23" s="13" t="s">
        <v>1498</v>
      </c>
    </row>
    <row r="24" spans="1:5" s="13" customFormat="1" ht="18" customHeight="1" x14ac:dyDescent="0.25">
      <c r="A24" s="13">
        <v>28</v>
      </c>
      <c r="B24" s="13">
        <v>29</v>
      </c>
      <c r="C24" s="13" t="s">
        <v>1455</v>
      </c>
      <c r="D24" s="13">
        <v>1000</v>
      </c>
      <c r="E24" s="13" t="s">
        <v>1498</v>
      </c>
    </row>
    <row r="25" spans="1:5" s="13" customFormat="1" ht="18" customHeight="1" x14ac:dyDescent="0.25">
      <c r="A25" s="13">
        <v>29</v>
      </c>
      <c r="B25" s="13">
        <v>5</v>
      </c>
      <c r="C25" s="13" t="s">
        <v>1455</v>
      </c>
      <c r="D25" s="13">
        <v>1000</v>
      </c>
      <c r="E25" s="13" t="s">
        <v>1498</v>
      </c>
    </row>
    <row r="26" spans="1:5" s="13" customFormat="1" ht="18" customHeight="1" x14ac:dyDescent="0.25">
      <c r="A26" s="13">
        <v>31</v>
      </c>
      <c r="B26" s="13">
        <v>33</v>
      </c>
      <c r="C26" s="13" t="s">
        <v>1455</v>
      </c>
      <c r="D26" s="13">
        <v>329.68464023889544</v>
      </c>
      <c r="E26" s="13" t="s">
        <v>1498</v>
      </c>
    </row>
    <row r="27" spans="1:5" s="13" customFormat="1" ht="18" customHeight="1" x14ac:dyDescent="0.25">
      <c r="A27" s="13">
        <v>9</v>
      </c>
      <c r="B27" s="13">
        <v>33</v>
      </c>
      <c r="C27" s="13" t="s">
        <v>1455</v>
      </c>
      <c r="D27" s="13">
        <v>329.68464023889544</v>
      </c>
      <c r="E27" s="13" t="s">
        <v>1498</v>
      </c>
    </row>
    <row r="28" spans="1:5" s="13" customFormat="1" ht="18" customHeight="1" x14ac:dyDescent="0.25">
      <c r="A28" s="13">
        <v>33</v>
      </c>
      <c r="B28" s="13">
        <v>5</v>
      </c>
      <c r="C28" s="13" t="s">
        <v>1455</v>
      </c>
      <c r="D28" s="13">
        <v>329.68464023889544</v>
      </c>
      <c r="E28" s="13" t="s">
        <v>1498</v>
      </c>
    </row>
    <row r="29" spans="1:5" s="13" customFormat="1" ht="18" customHeight="1" x14ac:dyDescent="0.25">
      <c r="A29" s="13">
        <v>33</v>
      </c>
      <c r="B29" s="13">
        <v>35</v>
      </c>
      <c r="C29" s="13" t="s">
        <v>1455</v>
      </c>
      <c r="D29" s="13">
        <v>329.68464023889544</v>
      </c>
      <c r="E29" s="13" t="s">
        <v>1498</v>
      </c>
    </row>
    <row r="30" spans="1:5" s="13" customFormat="1" ht="18" customHeight="1" x14ac:dyDescent="0.25">
      <c r="A30" s="13">
        <v>31</v>
      </c>
      <c r="B30" s="13">
        <v>38</v>
      </c>
      <c r="C30" s="13" t="s">
        <v>1455</v>
      </c>
      <c r="D30" s="13">
        <v>1.0959522003842861</v>
      </c>
      <c r="E30" s="13" t="s">
        <v>1492</v>
      </c>
    </row>
    <row r="31" spans="1:5" s="13" customFormat="1" ht="18" customHeight="1" x14ac:dyDescent="0.25">
      <c r="A31" s="13">
        <v>5</v>
      </c>
      <c r="B31" s="13">
        <v>38</v>
      </c>
      <c r="C31" s="13" t="s">
        <v>1455</v>
      </c>
      <c r="D31" s="13">
        <v>1.0959522003842861</v>
      </c>
      <c r="E31" s="13" t="s">
        <v>1492</v>
      </c>
    </row>
    <row r="32" spans="1:5" s="13" customFormat="1" ht="18" customHeight="1" x14ac:dyDescent="0.25">
      <c r="A32" s="13">
        <v>38</v>
      </c>
      <c r="B32" s="13">
        <v>23</v>
      </c>
      <c r="C32" s="13" t="s">
        <v>1455</v>
      </c>
      <c r="D32" s="13">
        <v>1.0959522003842861</v>
      </c>
      <c r="E32" s="13" t="s">
        <v>1492</v>
      </c>
    </row>
    <row r="33" spans="1:5" s="13" customFormat="1" ht="18" customHeight="1" x14ac:dyDescent="0.25">
      <c r="A33" s="13">
        <v>38</v>
      </c>
      <c r="B33" s="13">
        <v>40</v>
      </c>
      <c r="C33" s="13" t="s">
        <v>1455</v>
      </c>
      <c r="D33" s="13">
        <v>1.0959522003842861</v>
      </c>
      <c r="E33" s="13" t="s">
        <v>1492</v>
      </c>
    </row>
    <row r="34" spans="1:5" s="13" customFormat="1" ht="18" customHeight="1" x14ac:dyDescent="0.25">
      <c r="A34" s="13">
        <v>31</v>
      </c>
      <c r="B34" s="13">
        <v>43</v>
      </c>
      <c r="C34" s="13" t="s">
        <v>1455</v>
      </c>
      <c r="D34" s="13">
        <v>1</v>
      </c>
      <c r="E34" s="13" t="s">
        <v>1492</v>
      </c>
    </row>
    <row r="35" spans="1:5" s="13" customFormat="1" ht="18" customHeight="1" x14ac:dyDescent="0.25">
      <c r="A35" s="13">
        <v>23</v>
      </c>
      <c r="B35" s="13">
        <v>43</v>
      </c>
      <c r="C35" s="13" t="s">
        <v>1455</v>
      </c>
      <c r="D35" s="13">
        <v>1</v>
      </c>
      <c r="E35" s="13" t="s">
        <v>1492</v>
      </c>
    </row>
    <row r="36" spans="1:5" s="13" customFormat="1" ht="18" customHeight="1" x14ac:dyDescent="0.25">
      <c r="A36" s="13">
        <v>43</v>
      </c>
      <c r="B36" s="13">
        <v>5</v>
      </c>
      <c r="C36" s="13" t="s">
        <v>1455</v>
      </c>
      <c r="D36" s="13">
        <v>1</v>
      </c>
      <c r="E36" s="13" t="s">
        <v>1492</v>
      </c>
    </row>
    <row r="37" spans="1:5" s="13" customFormat="1" ht="18" customHeight="1" x14ac:dyDescent="0.25">
      <c r="A37" s="13">
        <v>43</v>
      </c>
      <c r="B37" s="13">
        <v>45</v>
      </c>
      <c r="C37" s="13" t="s">
        <v>1455</v>
      </c>
      <c r="D37" s="13">
        <v>1</v>
      </c>
      <c r="E37" s="13" t="s">
        <v>1492</v>
      </c>
    </row>
    <row r="38" spans="1:5" s="13" customFormat="1" ht="18" customHeight="1" x14ac:dyDescent="0.25">
      <c r="A38" s="13">
        <v>9</v>
      </c>
      <c r="B38" s="13">
        <v>48</v>
      </c>
      <c r="C38" s="13" t="s">
        <v>1455</v>
      </c>
      <c r="D38" s="13">
        <v>9.8514438244336571</v>
      </c>
      <c r="E38" s="13" t="s">
        <v>1498</v>
      </c>
    </row>
    <row r="39" spans="1:5" s="13" customFormat="1" ht="18" customHeight="1" x14ac:dyDescent="0.25">
      <c r="A39" s="13">
        <v>47</v>
      </c>
      <c r="B39" s="13">
        <v>48</v>
      </c>
      <c r="C39" s="13" t="s">
        <v>1455</v>
      </c>
      <c r="D39" s="13">
        <v>9.8514438244336571</v>
      </c>
      <c r="E39" s="13" t="s">
        <v>1498</v>
      </c>
    </row>
    <row r="40" spans="1:5" s="13" customFormat="1" ht="18" customHeight="1" x14ac:dyDescent="0.25">
      <c r="A40" s="13">
        <v>48</v>
      </c>
      <c r="B40" s="13">
        <v>23</v>
      </c>
      <c r="C40" s="13" t="s">
        <v>1455</v>
      </c>
      <c r="D40" s="13">
        <v>9.8514438244336571</v>
      </c>
      <c r="E40" s="13" t="s">
        <v>1498</v>
      </c>
    </row>
    <row r="41" spans="1:5" s="13" customFormat="1" ht="18" customHeight="1" x14ac:dyDescent="0.25">
      <c r="A41" s="13">
        <v>9</v>
      </c>
      <c r="B41" s="13">
        <v>52</v>
      </c>
      <c r="C41" s="13" t="s">
        <v>1455</v>
      </c>
      <c r="D41" s="13">
        <v>328.95564175766572</v>
      </c>
      <c r="E41" s="13" t="s">
        <v>1492</v>
      </c>
    </row>
    <row r="42" spans="1:5" s="13" customFormat="1" ht="18" customHeight="1" x14ac:dyDescent="0.25">
      <c r="A42" s="13">
        <v>23</v>
      </c>
      <c r="B42" s="13">
        <v>52</v>
      </c>
      <c r="C42" s="13" t="s">
        <v>1455</v>
      </c>
      <c r="D42" s="13">
        <v>328.95564175766572</v>
      </c>
      <c r="E42" s="13" t="s">
        <v>1492</v>
      </c>
    </row>
    <row r="43" spans="1:5" s="13" customFormat="1" ht="18" customHeight="1" x14ac:dyDescent="0.25">
      <c r="A43" s="13">
        <v>52</v>
      </c>
      <c r="B43" s="13">
        <v>5</v>
      </c>
      <c r="C43" s="13" t="s">
        <v>1455</v>
      </c>
      <c r="D43" s="13">
        <v>328.95564175766572</v>
      </c>
      <c r="E43" s="13" t="s">
        <v>1492</v>
      </c>
    </row>
    <row r="44" spans="1:5" s="13" customFormat="1" ht="18" customHeight="1" x14ac:dyDescent="0.25"/>
    <row r="45" spans="1:5" s="13" customFormat="1" ht="18" customHeight="1" x14ac:dyDescent="0.25"/>
    <row r="46" spans="1:5" s="13" customFormat="1" ht="18" customHeight="1" x14ac:dyDescent="0.25"/>
    <row r="47" spans="1:5" s="13" customFormat="1" ht="18" customHeight="1" x14ac:dyDescent="0.25"/>
    <row r="48" spans="1:5" s="13" customFormat="1" ht="18" customHeight="1" x14ac:dyDescent="0.25"/>
    <row r="49" s="13" customFormat="1" ht="18" customHeight="1" x14ac:dyDescent="0.25"/>
    <row r="50" s="13" customFormat="1" ht="18" customHeight="1" x14ac:dyDescent="0.25"/>
    <row r="51" s="13" customFormat="1" ht="18" customHeight="1" x14ac:dyDescent="0.25"/>
    <row r="52" s="13" customFormat="1" ht="18" customHeight="1" x14ac:dyDescent="0.25"/>
    <row r="53" s="13" customFormat="1" ht="18" customHeight="1" x14ac:dyDescent="0.25"/>
    <row r="54" s="13" customFormat="1" ht="18" customHeight="1" x14ac:dyDescent="0.25"/>
    <row r="55" s="13" customFormat="1" ht="18" customHeight="1" x14ac:dyDescent="0.25"/>
    <row r="56" s="13" customFormat="1" ht="18" customHeight="1" x14ac:dyDescent="0.25"/>
    <row r="57" s="13" customFormat="1" ht="18" customHeight="1" x14ac:dyDescent="0.25"/>
    <row r="58" s="13" customFormat="1" ht="18" customHeight="1" x14ac:dyDescent="0.25"/>
    <row r="59" s="13" customFormat="1" ht="18" customHeight="1" x14ac:dyDescent="0.25"/>
    <row r="60" s="13" customFormat="1" ht="18" customHeight="1" x14ac:dyDescent="0.25"/>
    <row r="61" s="13" customFormat="1" ht="18" customHeight="1" x14ac:dyDescent="0.25"/>
    <row r="62" s="13" customFormat="1" ht="18" customHeight="1" x14ac:dyDescent="0.25"/>
    <row r="63" s="13" customFormat="1" ht="18" customHeight="1" x14ac:dyDescent="0.25"/>
    <row r="64" s="13" customFormat="1" ht="18" customHeight="1" x14ac:dyDescent="0.25"/>
    <row r="65" s="13" customFormat="1" ht="18" customHeight="1" x14ac:dyDescent="0.25"/>
    <row r="66" s="13" customFormat="1" ht="18" customHeight="1" x14ac:dyDescent="0.25"/>
    <row r="67" s="13" customFormat="1" ht="18" customHeight="1" x14ac:dyDescent="0.25"/>
    <row r="68" s="13" customFormat="1" ht="18" customHeight="1" x14ac:dyDescent="0.25"/>
    <row r="69" s="13" customFormat="1" ht="18" customHeight="1" x14ac:dyDescent="0.25"/>
    <row r="70" s="13" customFormat="1" ht="18" customHeight="1" x14ac:dyDescent="0.25"/>
    <row r="71" s="13" customFormat="1" ht="18" customHeight="1" x14ac:dyDescent="0.25"/>
    <row r="72" s="13" customFormat="1" ht="18" customHeight="1" x14ac:dyDescent="0.25"/>
    <row r="73" s="13" customFormat="1" ht="18" customHeight="1" x14ac:dyDescent="0.25"/>
    <row r="74" s="13" customFormat="1" ht="18" customHeight="1" x14ac:dyDescent="0.25"/>
    <row r="75" s="13" customFormat="1" ht="18" customHeight="1" x14ac:dyDescent="0.25"/>
    <row r="76" s="13" customFormat="1" ht="18" customHeight="1" x14ac:dyDescent="0.25"/>
    <row r="77" s="13" customFormat="1" ht="18" customHeight="1" x14ac:dyDescent="0.25"/>
    <row r="78" s="13" customFormat="1" ht="18" customHeight="1" x14ac:dyDescent="0.25"/>
    <row r="79" s="13" customFormat="1" ht="18" customHeight="1" x14ac:dyDescent="0.25"/>
    <row r="80" s="13" customFormat="1" ht="18" customHeight="1" x14ac:dyDescent="0.25"/>
    <row r="81" s="13" customFormat="1" ht="18" customHeight="1" x14ac:dyDescent="0.25"/>
    <row r="82" s="13" customFormat="1" ht="18" customHeight="1" x14ac:dyDescent="0.25"/>
    <row r="83" s="13" customFormat="1" ht="18" customHeight="1" x14ac:dyDescent="0.25"/>
    <row r="84" s="13" customFormat="1" ht="18" customHeight="1" x14ac:dyDescent="0.25"/>
    <row r="85" s="13" customFormat="1" ht="18" customHeight="1" x14ac:dyDescent="0.25"/>
    <row r="86" s="13" customFormat="1" ht="18" customHeight="1" x14ac:dyDescent="0.25"/>
    <row r="87" s="13" customFormat="1" ht="18" customHeight="1" x14ac:dyDescent="0.25"/>
    <row r="88" s="13" customFormat="1" ht="18" customHeight="1" x14ac:dyDescent="0.25"/>
    <row r="89" s="13" customFormat="1" ht="18" customHeight="1" x14ac:dyDescent="0.25"/>
    <row r="90" s="13" customFormat="1" ht="18" customHeight="1" x14ac:dyDescent="0.25"/>
    <row r="91" s="13" customFormat="1" ht="18" customHeight="1" x14ac:dyDescent="0.25"/>
    <row r="92" s="13" customFormat="1" ht="18" customHeight="1" x14ac:dyDescent="0.25"/>
    <row r="93" s="13" customFormat="1" ht="18" customHeight="1" x14ac:dyDescent="0.25"/>
    <row r="94" s="13" customFormat="1" ht="18" customHeight="1" x14ac:dyDescent="0.25"/>
    <row r="95" s="13" customFormat="1" ht="18" customHeight="1" x14ac:dyDescent="0.25"/>
    <row r="96" s="13" customFormat="1" ht="18" customHeight="1" x14ac:dyDescent="0.25"/>
    <row r="97" s="13" customFormat="1" ht="18" customHeight="1" x14ac:dyDescent="0.25"/>
    <row r="98" s="13" customFormat="1" ht="18" customHeight="1" x14ac:dyDescent="0.25"/>
    <row r="99" s="13" customFormat="1" ht="18" customHeight="1" x14ac:dyDescent="0.25"/>
    <row r="100" s="13" customFormat="1" ht="18" customHeight="1" x14ac:dyDescent="0.25"/>
    <row r="101" s="13" customFormat="1" ht="18" customHeight="1" x14ac:dyDescent="0.25"/>
    <row r="102" s="13" customFormat="1" ht="18" customHeight="1" x14ac:dyDescent="0.25"/>
    <row r="103" s="13" customFormat="1" ht="18" customHeight="1" x14ac:dyDescent="0.25"/>
    <row r="104" s="13" customFormat="1" ht="18" customHeight="1" x14ac:dyDescent="0.25"/>
    <row r="105" s="13" customFormat="1" ht="18" customHeight="1" x14ac:dyDescent="0.25"/>
    <row r="106" s="13" customFormat="1" ht="18" customHeight="1" x14ac:dyDescent="0.25"/>
    <row r="107" s="13" customFormat="1" ht="18" customHeight="1" x14ac:dyDescent="0.25"/>
    <row r="108" s="13" customFormat="1" ht="18" customHeight="1" x14ac:dyDescent="0.25"/>
    <row r="109" s="13" customFormat="1" ht="18" customHeight="1" x14ac:dyDescent="0.25"/>
    <row r="110" s="13" customFormat="1" ht="18" customHeight="1" x14ac:dyDescent="0.25"/>
    <row r="111" s="13" customFormat="1" ht="18" customHeight="1" x14ac:dyDescent="0.25"/>
    <row r="112" s="13" customFormat="1" ht="18" customHeight="1" x14ac:dyDescent="0.25"/>
    <row r="113" s="13" customFormat="1" ht="18" customHeight="1" x14ac:dyDescent="0.25"/>
    <row r="114" s="13" customFormat="1" ht="18" customHeight="1" x14ac:dyDescent="0.25"/>
    <row r="115" s="13" customFormat="1" ht="18" customHeight="1" x14ac:dyDescent="0.25"/>
    <row r="116" s="13" customFormat="1" ht="18" customHeight="1" x14ac:dyDescent="0.25"/>
    <row r="117" s="13" customFormat="1" ht="18" customHeight="1" x14ac:dyDescent="0.25"/>
    <row r="118" s="13" customFormat="1" ht="18" customHeight="1" x14ac:dyDescent="0.25"/>
    <row r="119" s="13" customFormat="1" ht="18" customHeight="1" x14ac:dyDescent="0.25"/>
    <row r="120" s="13" customFormat="1" ht="18" customHeight="1" x14ac:dyDescent="0.25"/>
    <row r="121" s="13" customFormat="1" ht="18" customHeight="1" x14ac:dyDescent="0.25"/>
    <row r="122" s="13" customFormat="1" ht="18" customHeight="1" x14ac:dyDescent="0.25"/>
    <row r="123" s="13" customFormat="1" ht="18" customHeight="1" x14ac:dyDescent="0.25"/>
    <row r="124" s="13" customFormat="1" ht="18" customHeight="1" x14ac:dyDescent="0.25"/>
    <row r="125" s="13" customFormat="1" ht="18" customHeight="1" x14ac:dyDescent="0.25"/>
    <row r="126" s="13" customFormat="1" ht="18" customHeight="1" x14ac:dyDescent="0.25"/>
    <row r="127" s="13" customFormat="1" ht="18" customHeight="1" x14ac:dyDescent="0.25"/>
    <row r="128" s="13" customFormat="1" ht="18" customHeight="1" x14ac:dyDescent="0.25"/>
    <row r="129" s="13" customFormat="1" ht="18" customHeight="1" x14ac:dyDescent="0.25"/>
    <row r="130" s="13" customFormat="1" ht="18" customHeight="1" x14ac:dyDescent="0.25"/>
    <row r="131" s="13" customFormat="1" ht="18" customHeight="1" x14ac:dyDescent="0.25"/>
    <row r="132" s="13" customFormat="1" ht="18" customHeight="1" x14ac:dyDescent="0.25"/>
    <row r="133" s="13" customFormat="1" ht="18" customHeight="1" x14ac:dyDescent="0.25"/>
    <row r="134" s="13" customFormat="1" ht="18" customHeight="1" x14ac:dyDescent="0.25"/>
    <row r="135" s="13" customFormat="1" ht="18" customHeight="1" x14ac:dyDescent="0.25"/>
    <row r="136" s="13" customFormat="1" ht="18" customHeight="1" x14ac:dyDescent="0.25"/>
    <row r="137" s="13" customFormat="1" ht="18" customHeight="1" x14ac:dyDescent="0.25"/>
    <row r="138" s="13" customFormat="1" ht="18" customHeight="1" x14ac:dyDescent="0.25"/>
    <row r="139" s="13" customFormat="1" ht="18" customHeight="1" x14ac:dyDescent="0.25"/>
    <row r="140" s="13" customFormat="1" ht="18" customHeight="1" x14ac:dyDescent="0.25"/>
    <row r="141" s="13" customFormat="1" ht="18" customHeight="1" x14ac:dyDescent="0.25"/>
    <row r="142" s="13" customFormat="1" ht="18" customHeight="1" x14ac:dyDescent="0.25"/>
    <row r="143" s="13" customFormat="1" ht="18" customHeight="1" x14ac:dyDescent="0.25"/>
    <row r="144" s="13" customFormat="1" ht="18" customHeight="1" x14ac:dyDescent="0.25"/>
    <row r="145" s="13" customFormat="1" ht="18" customHeight="1" x14ac:dyDescent="0.25"/>
    <row r="146" s="13" customFormat="1" ht="18" customHeight="1" x14ac:dyDescent="0.25"/>
    <row r="147" s="13" customFormat="1" ht="18" customHeight="1" x14ac:dyDescent="0.25"/>
    <row r="148" s="13" customFormat="1" ht="18" customHeight="1" x14ac:dyDescent="0.25"/>
    <row r="149" s="13" customFormat="1" ht="18" customHeight="1" x14ac:dyDescent="0.25"/>
    <row r="150" s="13" customFormat="1" ht="18" customHeight="1" x14ac:dyDescent="0.25"/>
    <row r="151" s="13" customFormat="1" ht="18" customHeight="1" x14ac:dyDescent="0.25"/>
    <row r="152" s="13" customFormat="1" ht="18" customHeight="1" x14ac:dyDescent="0.25"/>
    <row r="153" s="13" customFormat="1" ht="18" customHeight="1" x14ac:dyDescent="0.25"/>
    <row r="154" s="13" customFormat="1" ht="18" customHeight="1" x14ac:dyDescent="0.25"/>
    <row r="155" s="13" customFormat="1" ht="18" customHeight="1" x14ac:dyDescent="0.25"/>
    <row r="156" s="13" customFormat="1" ht="18" customHeight="1" x14ac:dyDescent="0.25"/>
    <row r="157" s="13" customFormat="1" ht="18" customHeight="1" x14ac:dyDescent="0.25"/>
    <row r="158" s="13" customFormat="1" ht="18" customHeight="1" x14ac:dyDescent="0.25"/>
    <row r="159" s="13" customFormat="1" ht="18" customHeight="1" x14ac:dyDescent="0.25"/>
    <row r="160" s="13" customFormat="1" ht="18" customHeight="1" x14ac:dyDescent="0.25"/>
    <row r="161" s="13" customFormat="1" ht="18" customHeight="1" x14ac:dyDescent="0.25"/>
    <row r="162" s="13" customFormat="1" ht="18" customHeight="1" x14ac:dyDescent="0.25"/>
    <row r="163" s="13" customFormat="1" ht="18" customHeight="1" x14ac:dyDescent="0.25"/>
    <row r="164" s="13" customFormat="1" ht="18" customHeight="1" x14ac:dyDescent="0.25"/>
    <row r="165" s="13" customFormat="1" ht="18" customHeight="1" x14ac:dyDescent="0.25"/>
    <row r="166" s="13" customFormat="1" ht="18" customHeight="1" x14ac:dyDescent="0.25"/>
    <row r="167" s="13" customFormat="1" ht="18" customHeight="1" x14ac:dyDescent="0.25"/>
    <row r="168" s="13" customFormat="1" ht="18" customHeight="1" x14ac:dyDescent="0.25"/>
    <row r="169" s="13" customFormat="1" ht="18" customHeight="1" x14ac:dyDescent="0.25"/>
    <row r="170" s="13" customFormat="1" ht="18" customHeight="1" x14ac:dyDescent="0.25"/>
    <row r="171" s="13" customFormat="1" ht="18" customHeight="1" x14ac:dyDescent="0.25"/>
    <row r="172" s="13" customFormat="1" ht="18" customHeight="1" x14ac:dyDescent="0.25"/>
    <row r="173" s="13" customFormat="1" ht="18" customHeight="1" x14ac:dyDescent="0.25"/>
    <row r="174" s="13" customFormat="1" ht="18" customHeight="1" x14ac:dyDescent="0.25"/>
    <row r="175" s="13" customFormat="1" ht="18" customHeight="1" x14ac:dyDescent="0.25"/>
    <row r="176" s="13" customFormat="1" ht="18" customHeight="1" x14ac:dyDescent="0.25"/>
    <row r="177" s="13" customFormat="1" ht="18" customHeight="1" x14ac:dyDescent="0.25"/>
    <row r="178" s="13" customFormat="1" ht="18" customHeight="1" x14ac:dyDescent="0.25"/>
    <row r="179" s="13" customFormat="1" ht="18" customHeight="1" x14ac:dyDescent="0.25"/>
    <row r="180" s="13" customFormat="1" ht="18" customHeight="1" x14ac:dyDescent="0.25"/>
    <row r="181" s="13" customFormat="1" ht="18" customHeight="1" x14ac:dyDescent="0.25"/>
    <row r="182" s="13" customFormat="1" ht="18" customHeight="1" x14ac:dyDescent="0.25"/>
    <row r="183" s="13" customFormat="1" ht="18" customHeight="1" x14ac:dyDescent="0.25"/>
    <row r="184" s="13" customFormat="1" ht="18" customHeight="1" x14ac:dyDescent="0.25"/>
    <row r="185" s="13" customFormat="1" ht="18" customHeight="1" x14ac:dyDescent="0.25"/>
    <row r="186" s="13" customFormat="1" ht="18" customHeight="1" x14ac:dyDescent="0.25"/>
    <row r="187" s="13" customFormat="1" ht="18" customHeight="1" x14ac:dyDescent="0.25"/>
    <row r="188" s="13" customFormat="1" ht="18" customHeight="1" x14ac:dyDescent="0.25"/>
    <row r="189" s="13" customFormat="1" ht="18" customHeight="1" x14ac:dyDescent="0.25"/>
    <row r="190" s="13" customFormat="1" ht="18" customHeight="1" x14ac:dyDescent="0.25"/>
    <row r="191" s="13" customFormat="1" ht="18" customHeight="1" x14ac:dyDescent="0.25"/>
    <row r="192" s="13" customFormat="1" ht="18" customHeight="1" x14ac:dyDescent="0.25"/>
    <row r="193" s="13" customFormat="1" ht="18" customHeight="1" x14ac:dyDescent="0.25"/>
    <row r="194" s="13" customFormat="1" ht="18" customHeight="1" x14ac:dyDescent="0.25"/>
    <row r="195" s="13" customFormat="1" ht="18" customHeight="1" x14ac:dyDescent="0.25"/>
    <row r="196" s="13" customFormat="1" ht="18" customHeight="1" x14ac:dyDescent="0.25"/>
    <row r="197" s="13" customFormat="1" ht="18" customHeight="1" x14ac:dyDescent="0.25"/>
    <row r="198" s="13" customFormat="1" ht="18" customHeight="1" x14ac:dyDescent="0.25"/>
    <row r="199" s="13" customFormat="1" ht="18" customHeight="1" x14ac:dyDescent="0.25"/>
    <row r="200" s="13" customFormat="1" ht="18" customHeight="1" x14ac:dyDescent="0.25"/>
    <row r="201" s="13" customFormat="1" ht="18" customHeight="1" x14ac:dyDescent="0.25"/>
    <row r="202" s="13" customFormat="1" ht="18" customHeight="1" x14ac:dyDescent="0.25"/>
    <row r="203" s="13" customFormat="1" ht="18" customHeight="1" x14ac:dyDescent="0.25"/>
    <row r="204" s="13" customFormat="1" ht="18" customHeight="1" x14ac:dyDescent="0.25"/>
    <row r="205" s="13" customFormat="1" ht="18" customHeight="1" x14ac:dyDescent="0.25"/>
    <row r="206" s="13" customFormat="1" ht="18" customHeight="1" x14ac:dyDescent="0.25"/>
    <row r="207" s="13" customFormat="1" ht="18" customHeight="1" x14ac:dyDescent="0.25"/>
    <row r="208" s="13" customFormat="1" ht="18" customHeight="1" x14ac:dyDescent="0.25"/>
    <row r="209" s="13" customFormat="1" ht="18" customHeight="1" x14ac:dyDescent="0.25"/>
    <row r="210" s="13" customFormat="1" ht="18" customHeight="1" x14ac:dyDescent="0.25"/>
    <row r="211" s="13" customFormat="1" ht="18" customHeight="1" x14ac:dyDescent="0.25"/>
    <row r="212" s="13" customFormat="1" ht="18" customHeight="1" x14ac:dyDescent="0.25"/>
    <row r="213" s="13" customFormat="1" ht="18" customHeight="1" x14ac:dyDescent="0.25"/>
    <row r="214" s="13" customFormat="1" ht="18" customHeight="1" x14ac:dyDescent="0.25"/>
    <row r="215" s="13" customFormat="1" ht="18" customHeight="1" x14ac:dyDescent="0.25"/>
    <row r="216" s="13" customFormat="1" ht="18" customHeight="1" x14ac:dyDescent="0.25"/>
    <row r="217" s="13" customFormat="1" ht="18" customHeight="1" x14ac:dyDescent="0.25"/>
    <row r="218" s="13" customFormat="1" ht="18" customHeight="1" x14ac:dyDescent="0.25"/>
    <row r="219" s="13" customFormat="1" ht="18" customHeight="1" x14ac:dyDescent="0.25"/>
    <row r="220" s="13" customFormat="1" ht="18" customHeight="1" x14ac:dyDescent="0.25"/>
    <row r="221" s="13" customFormat="1" ht="18" customHeight="1" x14ac:dyDescent="0.25"/>
    <row r="222" s="13" customFormat="1" ht="18" customHeight="1" x14ac:dyDescent="0.25"/>
    <row r="223" s="13" customFormat="1" ht="18" customHeight="1" x14ac:dyDescent="0.25"/>
    <row r="224" s="13" customFormat="1" ht="18" customHeight="1" x14ac:dyDescent="0.25"/>
    <row r="225" s="13" customFormat="1" ht="18" customHeight="1" x14ac:dyDescent="0.25"/>
    <row r="226" s="13" customFormat="1" ht="18" customHeight="1" x14ac:dyDescent="0.25"/>
    <row r="227" s="13" customFormat="1" ht="18" customHeight="1" x14ac:dyDescent="0.25"/>
    <row r="228" s="13" customFormat="1" ht="18" customHeight="1" x14ac:dyDescent="0.25"/>
    <row r="229" s="13" customFormat="1" ht="18" customHeight="1" x14ac:dyDescent="0.25"/>
    <row r="230" s="13" customFormat="1" ht="18" customHeight="1" x14ac:dyDescent="0.25"/>
    <row r="231" s="13" customFormat="1" ht="18" customHeight="1" x14ac:dyDescent="0.25"/>
    <row r="232" s="13" customFormat="1" ht="18" customHeight="1" x14ac:dyDescent="0.25"/>
    <row r="233" s="13" customFormat="1" ht="18" customHeight="1" x14ac:dyDescent="0.25"/>
    <row r="234" s="13" customFormat="1" ht="18" customHeight="1" x14ac:dyDescent="0.25"/>
    <row r="235" s="13" customFormat="1" ht="18" customHeight="1" x14ac:dyDescent="0.25"/>
    <row r="236" s="13" customFormat="1" ht="18" customHeight="1" x14ac:dyDescent="0.25"/>
    <row r="237" s="13" customFormat="1" ht="18" customHeight="1" x14ac:dyDescent="0.25"/>
    <row r="238" s="13" customFormat="1" ht="18" customHeight="1" x14ac:dyDescent="0.25"/>
    <row r="239" s="13" customFormat="1" ht="18" customHeight="1" x14ac:dyDescent="0.25"/>
    <row r="240" s="13" customFormat="1" ht="18" customHeight="1" x14ac:dyDescent="0.25"/>
    <row r="241" s="13" customFormat="1" ht="18" customHeight="1" x14ac:dyDescent="0.25"/>
    <row r="242" s="13" customFormat="1" ht="18" customHeight="1" x14ac:dyDescent="0.25"/>
    <row r="243" s="13" customFormat="1" ht="18" customHeight="1" x14ac:dyDescent="0.25"/>
    <row r="244" s="13" customFormat="1" ht="18" customHeight="1" x14ac:dyDescent="0.25"/>
    <row r="245" s="13" customFormat="1" ht="18" customHeight="1" x14ac:dyDescent="0.25"/>
    <row r="246" s="13" customFormat="1" ht="18" customHeight="1" x14ac:dyDescent="0.25"/>
    <row r="247" s="13" customFormat="1" ht="18" customHeight="1" x14ac:dyDescent="0.25"/>
    <row r="248" s="13" customFormat="1" ht="18" customHeight="1" x14ac:dyDescent="0.25"/>
    <row r="249" s="13" customFormat="1" ht="18" customHeight="1" x14ac:dyDescent="0.25"/>
    <row r="250" s="13" customFormat="1" ht="18" customHeight="1" x14ac:dyDescent="0.25"/>
    <row r="251" s="13" customFormat="1" ht="18" customHeight="1" x14ac:dyDescent="0.25"/>
    <row r="252" s="13" customFormat="1" ht="18" customHeight="1" x14ac:dyDescent="0.25"/>
    <row r="253" s="13" customFormat="1" ht="18" customHeight="1" x14ac:dyDescent="0.25"/>
    <row r="254" s="13" customFormat="1" ht="18" customHeight="1" x14ac:dyDescent="0.25"/>
    <row r="255" s="13" customFormat="1" ht="18" customHeight="1" x14ac:dyDescent="0.25"/>
    <row r="256" s="13" customFormat="1" ht="18" customHeight="1" x14ac:dyDescent="0.25"/>
    <row r="257" s="13" customFormat="1" ht="18" customHeight="1" x14ac:dyDescent="0.25"/>
    <row r="258" s="13" customFormat="1" ht="18" customHeight="1" x14ac:dyDescent="0.25"/>
    <row r="259" s="13" customFormat="1" ht="18" customHeight="1" x14ac:dyDescent="0.25"/>
    <row r="260" s="13" customFormat="1" ht="18" customHeight="1" x14ac:dyDescent="0.25"/>
    <row r="261" s="13" customFormat="1" ht="18" customHeight="1" x14ac:dyDescent="0.25"/>
    <row r="262" s="13" customFormat="1" ht="18" customHeight="1" x14ac:dyDescent="0.25"/>
    <row r="263" s="13" customFormat="1" ht="18" customHeight="1" x14ac:dyDescent="0.25"/>
    <row r="264" s="13" customFormat="1" ht="18" customHeight="1" x14ac:dyDescent="0.25"/>
    <row r="265" s="13" customFormat="1" ht="18" customHeight="1" x14ac:dyDescent="0.25"/>
    <row r="266" s="13" customFormat="1" ht="18" customHeight="1" x14ac:dyDescent="0.25"/>
    <row r="267" s="13" customFormat="1" ht="18" customHeight="1" x14ac:dyDescent="0.25"/>
    <row r="268" s="13" customFormat="1" ht="18" customHeight="1" x14ac:dyDescent="0.25"/>
    <row r="269" s="13" customFormat="1" ht="18" customHeight="1" x14ac:dyDescent="0.25"/>
    <row r="270" s="13" customFormat="1" ht="18" customHeight="1" x14ac:dyDescent="0.25"/>
    <row r="271" s="13" customFormat="1" ht="18" customHeight="1" x14ac:dyDescent="0.25"/>
    <row r="272" s="13" customFormat="1" ht="18" customHeight="1" x14ac:dyDescent="0.25"/>
    <row r="273" s="13" customFormat="1" ht="18" customHeight="1" x14ac:dyDescent="0.25"/>
    <row r="274" s="13" customFormat="1" ht="18" customHeight="1" x14ac:dyDescent="0.25"/>
    <row r="275" s="13" customFormat="1" ht="18" customHeight="1" x14ac:dyDescent="0.25"/>
    <row r="276" s="13" customFormat="1" ht="18" customHeight="1" x14ac:dyDescent="0.25"/>
    <row r="277" s="13" customFormat="1" ht="18" customHeight="1" x14ac:dyDescent="0.25"/>
    <row r="278" s="13" customFormat="1" ht="18" customHeight="1" x14ac:dyDescent="0.25"/>
    <row r="279" s="13" customFormat="1" ht="18" customHeight="1" x14ac:dyDescent="0.25"/>
    <row r="280" s="13" customFormat="1" ht="18" customHeight="1" x14ac:dyDescent="0.25"/>
    <row r="281" s="13" customFormat="1" ht="18" customHeight="1" x14ac:dyDescent="0.25"/>
    <row r="282" s="13" customFormat="1" ht="18" customHeight="1" x14ac:dyDescent="0.25"/>
    <row r="283" s="13" customFormat="1" ht="18" customHeight="1" x14ac:dyDescent="0.25"/>
    <row r="284" s="13" customFormat="1" ht="18" customHeight="1" x14ac:dyDescent="0.25"/>
    <row r="285" s="13" customFormat="1" ht="18" customHeight="1" x14ac:dyDescent="0.25"/>
    <row r="286" s="13" customFormat="1" ht="18" customHeight="1" x14ac:dyDescent="0.25"/>
    <row r="287" s="13" customFormat="1" ht="18" customHeight="1" x14ac:dyDescent="0.25"/>
    <row r="288" s="13" customFormat="1" ht="18" customHeight="1" x14ac:dyDescent="0.25"/>
    <row r="289" s="13" customFormat="1" ht="18" customHeight="1" x14ac:dyDescent="0.25"/>
    <row r="290" s="13" customFormat="1" ht="18" customHeight="1" x14ac:dyDescent="0.25"/>
    <row r="291" s="13" customFormat="1" ht="18" customHeight="1" x14ac:dyDescent="0.25"/>
    <row r="292" s="13" customFormat="1" ht="18" customHeight="1" x14ac:dyDescent="0.25"/>
    <row r="293" s="13" customFormat="1" ht="18" customHeight="1" x14ac:dyDescent="0.25"/>
    <row r="294" s="13" customFormat="1" ht="18" customHeight="1" x14ac:dyDescent="0.25"/>
    <row r="295" s="13" customFormat="1" ht="18" customHeight="1" x14ac:dyDescent="0.25"/>
    <row r="296" s="13" customFormat="1" ht="18" customHeight="1" x14ac:dyDescent="0.25"/>
    <row r="297" s="13" customFormat="1" ht="18" customHeight="1" x14ac:dyDescent="0.25"/>
    <row r="298" s="13" customFormat="1" ht="18" customHeight="1" x14ac:dyDescent="0.25"/>
    <row r="299" s="13" customFormat="1" ht="18" customHeight="1" x14ac:dyDescent="0.25"/>
    <row r="300" s="13" customFormat="1" ht="18" customHeight="1" x14ac:dyDescent="0.25"/>
    <row r="301" s="13" customFormat="1" ht="18" customHeight="1" x14ac:dyDescent="0.25"/>
    <row r="302" s="13" customFormat="1" ht="18" customHeight="1" x14ac:dyDescent="0.25"/>
    <row r="303" s="13" customFormat="1" ht="18" customHeight="1" x14ac:dyDescent="0.25"/>
    <row r="304" s="13" customFormat="1" ht="18" customHeight="1" x14ac:dyDescent="0.25"/>
    <row r="305" s="13" customFormat="1" ht="18" customHeight="1" x14ac:dyDescent="0.25"/>
    <row r="306" s="13" customFormat="1" ht="18" customHeight="1" x14ac:dyDescent="0.25"/>
    <row r="307" s="13" customFormat="1" ht="18" customHeight="1" x14ac:dyDescent="0.25"/>
    <row r="308" s="13" customFormat="1" ht="18" customHeight="1" x14ac:dyDescent="0.25"/>
    <row r="309" s="13" customFormat="1" ht="18" customHeight="1" x14ac:dyDescent="0.25"/>
    <row r="310" s="13" customFormat="1" ht="18" customHeight="1" x14ac:dyDescent="0.25"/>
    <row r="311" s="13" customFormat="1" ht="18" customHeight="1" x14ac:dyDescent="0.25"/>
    <row r="312" s="13" customFormat="1" ht="18" customHeight="1" x14ac:dyDescent="0.25"/>
    <row r="313" s="13" customFormat="1" ht="18" customHeight="1" x14ac:dyDescent="0.25"/>
    <row r="314" s="13" customFormat="1" ht="18" customHeight="1" x14ac:dyDescent="0.25"/>
    <row r="315" s="13" customFormat="1" ht="18" customHeight="1" x14ac:dyDescent="0.25"/>
    <row r="316" s="13" customFormat="1" ht="18" customHeight="1" x14ac:dyDescent="0.25"/>
    <row r="317" s="13" customFormat="1" ht="18" customHeight="1" x14ac:dyDescent="0.25"/>
    <row r="318" s="13" customFormat="1" ht="18" customHeight="1" x14ac:dyDescent="0.25"/>
    <row r="319" s="13" customFormat="1" ht="18" customHeight="1" x14ac:dyDescent="0.25"/>
    <row r="320" s="13" customFormat="1" ht="18" customHeight="1" x14ac:dyDescent="0.25"/>
    <row r="321" s="13" customFormat="1" ht="18" customHeight="1" x14ac:dyDescent="0.25"/>
    <row r="322" s="13" customFormat="1" ht="18" customHeight="1" x14ac:dyDescent="0.25"/>
    <row r="323" s="13" customFormat="1" ht="18" customHeight="1" x14ac:dyDescent="0.25"/>
    <row r="324" s="13" customFormat="1" ht="18" customHeight="1" x14ac:dyDescent="0.25"/>
    <row r="325" s="13" customFormat="1" ht="18" customHeight="1" x14ac:dyDescent="0.25"/>
    <row r="326" s="13" customFormat="1" ht="18" customHeight="1" x14ac:dyDescent="0.25"/>
    <row r="327" s="13" customFormat="1" ht="18" customHeight="1" x14ac:dyDescent="0.25"/>
    <row r="328" s="13" customFormat="1" ht="18" customHeight="1" x14ac:dyDescent="0.25"/>
    <row r="329" s="13" customFormat="1" ht="18" customHeight="1" x14ac:dyDescent="0.25"/>
    <row r="330" s="13" customFormat="1" ht="18" customHeight="1" x14ac:dyDescent="0.25"/>
    <row r="331" s="13" customFormat="1" ht="18" customHeight="1" x14ac:dyDescent="0.25"/>
    <row r="332" s="13" customFormat="1" ht="18" customHeight="1" x14ac:dyDescent="0.25"/>
    <row r="333" s="13" customFormat="1" ht="18" customHeight="1" x14ac:dyDescent="0.25"/>
    <row r="334" s="13" customFormat="1" ht="18" customHeight="1" x14ac:dyDescent="0.25"/>
    <row r="335" s="13" customFormat="1" ht="18" customHeight="1" x14ac:dyDescent="0.25"/>
    <row r="336" s="13" customFormat="1" ht="18" customHeight="1" x14ac:dyDescent="0.25"/>
    <row r="337" s="13" customFormat="1" ht="18" customHeight="1" x14ac:dyDescent="0.25"/>
    <row r="338" s="13" customFormat="1" ht="18" customHeight="1" x14ac:dyDescent="0.25"/>
    <row r="339" s="13" customFormat="1" ht="18" customHeight="1" x14ac:dyDescent="0.25"/>
    <row r="340" s="13" customFormat="1" ht="18" customHeight="1" x14ac:dyDescent="0.25"/>
    <row r="341" s="13" customFormat="1" ht="18" customHeight="1" x14ac:dyDescent="0.25"/>
    <row r="342" s="13" customFormat="1" ht="18" customHeight="1" x14ac:dyDescent="0.25"/>
    <row r="343" s="13" customFormat="1" ht="18" customHeight="1" x14ac:dyDescent="0.25"/>
    <row r="344" s="13" customFormat="1" ht="18" customHeight="1" x14ac:dyDescent="0.25"/>
    <row r="345" s="13" customFormat="1" ht="18" customHeight="1" x14ac:dyDescent="0.25"/>
    <row r="346" s="13" customFormat="1" ht="18" customHeight="1" x14ac:dyDescent="0.25"/>
    <row r="347" s="13" customFormat="1" ht="18" customHeight="1" x14ac:dyDescent="0.25"/>
    <row r="348" s="13" customFormat="1" ht="18" customHeight="1" x14ac:dyDescent="0.25"/>
    <row r="349" s="13" customFormat="1" ht="18" customHeight="1" x14ac:dyDescent="0.25"/>
    <row r="350" s="13" customFormat="1" ht="18" customHeight="1" x14ac:dyDescent="0.25"/>
    <row r="351" s="13" customFormat="1" ht="18" customHeight="1" x14ac:dyDescent="0.25"/>
    <row r="352" s="13" customFormat="1" ht="18" customHeight="1" x14ac:dyDescent="0.25"/>
    <row r="353" s="13" customFormat="1" ht="18" customHeight="1" x14ac:dyDescent="0.25"/>
    <row r="354" s="13" customFormat="1" ht="18" customHeight="1" x14ac:dyDescent="0.25"/>
    <row r="355" s="13" customFormat="1" ht="18" customHeight="1" x14ac:dyDescent="0.25"/>
    <row r="356" s="13" customFormat="1" ht="18" customHeight="1" x14ac:dyDescent="0.25"/>
    <row r="357" s="13" customFormat="1" ht="18" customHeight="1" x14ac:dyDescent="0.25"/>
    <row r="358" s="13" customFormat="1" ht="18" customHeight="1" x14ac:dyDescent="0.25"/>
    <row r="359" s="13" customFormat="1" ht="18" customHeight="1" x14ac:dyDescent="0.25"/>
    <row r="360" s="13" customFormat="1" ht="18" customHeight="1" x14ac:dyDescent="0.25"/>
    <row r="361" s="13" customFormat="1" ht="18" customHeight="1" x14ac:dyDescent="0.25"/>
    <row r="362" s="13" customFormat="1" ht="18" customHeight="1" x14ac:dyDescent="0.25"/>
    <row r="363" s="13" customFormat="1" ht="18" customHeight="1" x14ac:dyDescent="0.25"/>
    <row r="364" s="13" customFormat="1" ht="18" customHeight="1" x14ac:dyDescent="0.25"/>
    <row r="365" s="13" customFormat="1" ht="18" customHeight="1" x14ac:dyDescent="0.25"/>
    <row r="366" s="13" customFormat="1" ht="18" customHeight="1" x14ac:dyDescent="0.25"/>
    <row r="367" s="13" customFormat="1" ht="18" customHeight="1" x14ac:dyDescent="0.25"/>
    <row r="368" s="13" customFormat="1" ht="18" customHeight="1" x14ac:dyDescent="0.25"/>
    <row r="369" s="13" customFormat="1" ht="18" customHeight="1" x14ac:dyDescent="0.25"/>
    <row r="370" s="13" customFormat="1" ht="18" customHeight="1" x14ac:dyDescent="0.25"/>
    <row r="371" s="13" customFormat="1" ht="18" customHeight="1" x14ac:dyDescent="0.25"/>
    <row r="372" s="13" customFormat="1" ht="18" customHeight="1" x14ac:dyDescent="0.25"/>
    <row r="373" s="13" customFormat="1" ht="18" customHeight="1" x14ac:dyDescent="0.25"/>
    <row r="374" s="13" customFormat="1" ht="18" customHeight="1" x14ac:dyDescent="0.25"/>
    <row r="375" s="13" customFormat="1" ht="18" customHeight="1" x14ac:dyDescent="0.25"/>
    <row r="376" s="13" customFormat="1" ht="18" customHeight="1" x14ac:dyDescent="0.25"/>
    <row r="377" s="13" customFormat="1" ht="18" customHeight="1" x14ac:dyDescent="0.25"/>
    <row r="378" s="13" customFormat="1" ht="18" customHeight="1" x14ac:dyDescent="0.25"/>
    <row r="379" s="13" customFormat="1" ht="18" customHeight="1" x14ac:dyDescent="0.25"/>
    <row r="380" s="13" customFormat="1" ht="18" customHeight="1" x14ac:dyDescent="0.25"/>
    <row r="381" s="13" customFormat="1" ht="18" customHeight="1" x14ac:dyDescent="0.25"/>
    <row r="382" s="13" customFormat="1" ht="18" customHeight="1" x14ac:dyDescent="0.25"/>
    <row r="383" s="13" customFormat="1" ht="18" customHeight="1" x14ac:dyDescent="0.25"/>
    <row r="384" s="13" customFormat="1" ht="18" customHeight="1" x14ac:dyDescent="0.25"/>
    <row r="385" s="13" customFormat="1" ht="18" customHeight="1" x14ac:dyDescent="0.25"/>
    <row r="386" s="13" customFormat="1" ht="18" customHeight="1" x14ac:dyDescent="0.25"/>
    <row r="387" s="13" customFormat="1" ht="18" customHeight="1" x14ac:dyDescent="0.25"/>
    <row r="388" s="13" customFormat="1" ht="18" customHeight="1" x14ac:dyDescent="0.25"/>
    <row r="389" s="13" customFormat="1" ht="18" customHeight="1" x14ac:dyDescent="0.25"/>
    <row r="390" s="13" customFormat="1" ht="18" customHeight="1" x14ac:dyDescent="0.25"/>
    <row r="391" s="13" customFormat="1" ht="18" customHeight="1" x14ac:dyDescent="0.25"/>
    <row r="392" s="13" customFormat="1" ht="18" customHeight="1" x14ac:dyDescent="0.25"/>
    <row r="393" s="13" customFormat="1" ht="18" customHeight="1" x14ac:dyDescent="0.25"/>
    <row r="394" s="13" customFormat="1" ht="18" customHeight="1" x14ac:dyDescent="0.25"/>
    <row r="395" s="13" customFormat="1" ht="18" customHeight="1" x14ac:dyDescent="0.25"/>
    <row r="396" s="13" customFormat="1" ht="18" customHeight="1" x14ac:dyDescent="0.25"/>
    <row r="397" s="13" customFormat="1" ht="18" customHeight="1" x14ac:dyDescent="0.25"/>
    <row r="398" s="13" customFormat="1" ht="18" customHeight="1" x14ac:dyDescent="0.25"/>
    <row r="399" s="13" customFormat="1" ht="18" customHeight="1" x14ac:dyDescent="0.25"/>
    <row r="400" s="13" customFormat="1" ht="18" customHeight="1" x14ac:dyDescent="0.25"/>
    <row r="401" s="13" customFormat="1" ht="18" customHeight="1" x14ac:dyDescent="0.25"/>
    <row r="402" s="13" customFormat="1" ht="18" customHeight="1" x14ac:dyDescent="0.25"/>
    <row r="403" s="13" customFormat="1" ht="18" customHeight="1" x14ac:dyDescent="0.25"/>
    <row r="404" s="13" customFormat="1" ht="18" customHeight="1" x14ac:dyDescent="0.25"/>
    <row r="405" s="13" customFormat="1" ht="18" customHeight="1" x14ac:dyDescent="0.25"/>
    <row r="406" s="13" customFormat="1" ht="18" customHeight="1" x14ac:dyDescent="0.25"/>
    <row r="407" s="13" customFormat="1" ht="18" customHeight="1" x14ac:dyDescent="0.25"/>
    <row r="408" s="13" customFormat="1" ht="18" customHeight="1" x14ac:dyDescent="0.25"/>
    <row r="409" s="13" customFormat="1" ht="18" customHeight="1" x14ac:dyDescent="0.25"/>
    <row r="410" s="13" customFormat="1" ht="18" customHeight="1" x14ac:dyDescent="0.25"/>
    <row r="411" s="13" customFormat="1" ht="18" customHeight="1" x14ac:dyDescent="0.25"/>
    <row r="412" s="13" customFormat="1" ht="18" customHeight="1" x14ac:dyDescent="0.25"/>
    <row r="413" s="13" customFormat="1" ht="18" customHeight="1" x14ac:dyDescent="0.25"/>
    <row r="414" s="13" customFormat="1" ht="18" customHeight="1" x14ac:dyDescent="0.25"/>
    <row r="415" s="13" customFormat="1" ht="18" customHeight="1" x14ac:dyDescent="0.25"/>
    <row r="416" s="13" customFormat="1" ht="18" customHeight="1" x14ac:dyDescent="0.25"/>
    <row r="417" s="13" customFormat="1" ht="18" customHeight="1" x14ac:dyDescent="0.25"/>
    <row r="418" s="13" customFormat="1" ht="18" customHeight="1" x14ac:dyDescent="0.25"/>
    <row r="419" s="13" customFormat="1" ht="18" customHeight="1" x14ac:dyDescent="0.25"/>
    <row r="420" s="13" customFormat="1" ht="18" customHeight="1" x14ac:dyDescent="0.25"/>
    <row r="421" s="13" customFormat="1" ht="18" customHeight="1" x14ac:dyDescent="0.25"/>
    <row r="422" s="13" customFormat="1" ht="18" customHeight="1" x14ac:dyDescent="0.25"/>
    <row r="423" s="13" customFormat="1" ht="18" customHeight="1" x14ac:dyDescent="0.25"/>
    <row r="424" s="13" customFormat="1" ht="18" customHeight="1" x14ac:dyDescent="0.25"/>
    <row r="425" s="13" customFormat="1" ht="18" customHeight="1" x14ac:dyDescent="0.25"/>
    <row r="426" s="13" customFormat="1" ht="18" customHeight="1" x14ac:dyDescent="0.25"/>
    <row r="427" s="13" customFormat="1" ht="18" customHeight="1" x14ac:dyDescent="0.25"/>
    <row r="428" s="13" customFormat="1" ht="18" customHeight="1" x14ac:dyDescent="0.25"/>
    <row r="429" s="13" customFormat="1" ht="18" customHeight="1" x14ac:dyDescent="0.25"/>
    <row r="430" s="13" customFormat="1" ht="18" customHeight="1" x14ac:dyDescent="0.25"/>
    <row r="431" s="13" customFormat="1" ht="18" customHeight="1" x14ac:dyDescent="0.25"/>
    <row r="432" s="13" customFormat="1" ht="18" customHeight="1" x14ac:dyDescent="0.25"/>
    <row r="433" s="13" customFormat="1" ht="18" customHeight="1" x14ac:dyDescent="0.25"/>
    <row r="434" s="13" customFormat="1" ht="18" customHeight="1" x14ac:dyDescent="0.25"/>
    <row r="435" s="13" customFormat="1" ht="18" customHeight="1" x14ac:dyDescent="0.25"/>
    <row r="436" s="13" customFormat="1" ht="18" customHeight="1" x14ac:dyDescent="0.25"/>
    <row r="437" s="13" customFormat="1" ht="18" customHeight="1" x14ac:dyDescent="0.25"/>
    <row r="438" s="13" customFormat="1" ht="18" customHeight="1" x14ac:dyDescent="0.25"/>
    <row r="439" s="13" customFormat="1" ht="18" customHeight="1" x14ac:dyDescent="0.25"/>
    <row r="440" s="13" customFormat="1" ht="18" customHeight="1" x14ac:dyDescent="0.25"/>
    <row r="441" s="13" customFormat="1" ht="18" customHeight="1" x14ac:dyDescent="0.25"/>
    <row r="442" s="13" customFormat="1" ht="18" customHeight="1" x14ac:dyDescent="0.25"/>
    <row r="443" s="13" customFormat="1" ht="18" customHeight="1" x14ac:dyDescent="0.25"/>
    <row r="444" s="13" customFormat="1" ht="18" customHeight="1" x14ac:dyDescent="0.25"/>
    <row r="445" s="13" customFormat="1" ht="18" customHeight="1" x14ac:dyDescent="0.25"/>
    <row r="446" s="13" customFormat="1" ht="18" customHeight="1" x14ac:dyDescent="0.25"/>
    <row r="447" s="13" customFormat="1" ht="18" customHeight="1" x14ac:dyDescent="0.25"/>
    <row r="448" s="13" customFormat="1" ht="18" customHeight="1" x14ac:dyDescent="0.25"/>
    <row r="449" s="13" customFormat="1" ht="18" customHeight="1" x14ac:dyDescent="0.25"/>
    <row r="450" s="13" customFormat="1" ht="18" customHeight="1" x14ac:dyDescent="0.25"/>
    <row r="451" s="13" customFormat="1" ht="18" customHeight="1" x14ac:dyDescent="0.25"/>
    <row r="452" s="13" customFormat="1" ht="18" customHeight="1" x14ac:dyDescent="0.25"/>
    <row r="453" s="13" customFormat="1" ht="18" customHeight="1" x14ac:dyDescent="0.25"/>
    <row r="454" s="13" customFormat="1" ht="18" customHeight="1" x14ac:dyDescent="0.25"/>
    <row r="455" s="13" customFormat="1" ht="18" customHeight="1" x14ac:dyDescent="0.25"/>
    <row r="456" s="13" customFormat="1" ht="18" customHeight="1" x14ac:dyDescent="0.25"/>
    <row r="457" s="13" customFormat="1" ht="18" customHeight="1" x14ac:dyDescent="0.25"/>
    <row r="458" s="13" customFormat="1" ht="18" customHeight="1" x14ac:dyDescent="0.25"/>
    <row r="459" s="13" customFormat="1" ht="18" customHeight="1" x14ac:dyDescent="0.25"/>
    <row r="460" s="13" customFormat="1" ht="18" customHeight="1" x14ac:dyDescent="0.25"/>
    <row r="461" s="13" customFormat="1" ht="18" customHeight="1" x14ac:dyDescent="0.25"/>
    <row r="462" s="13" customFormat="1" ht="18" customHeight="1" x14ac:dyDescent="0.25"/>
    <row r="463" s="13" customFormat="1" ht="18" customHeight="1" x14ac:dyDescent="0.25"/>
    <row r="464" s="13" customFormat="1" ht="18" customHeight="1" x14ac:dyDescent="0.25"/>
    <row r="465" s="13" customFormat="1" ht="18" customHeight="1" x14ac:dyDescent="0.25"/>
    <row r="466" s="13" customFormat="1" ht="18" customHeight="1" x14ac:dyDescent="0.25"/>
    <row r="467" s="13" customFormat="1" ht="18" customHeight="1" x14ac:dyDescent="0.25"/>
    <row r="468" s="13" customFormat="1" ht="18" customHeight="1" x14ac:dyDescent="0.25"/>
    <row r="469" s="13" customFormat="1" ht="18" customHeight="1" x14ac:dyDescent="0.25"/>
    <row r="470" s="13" customFormat="1" ht="18" customHeight="1" x14ac:dyDescent="0.25"/>
    <row r="471" s="13" customFormat="1" ht="18" customHeight="1" x14ac:dyDescent="0.25"/>
    <row r="472" s="13" customFormat="1" ht="18" customHeight="1" x14ac:dyDescent="0.25"/>
    <row r="473" s="13" customFormat="1" ht="18" customHeight="1" x14ac:dyDescent="0.25"/>
    <row r="474" s="13" customFormat="1" ht="18" customHeight="1" x14ac:dyDescent="0.25"/>
    <row r="475" s="13" customFormat="1" ht="18" customHeight="1" x14ac:dyDescent="0.25"/>
    <row r="476" s="13" customFormat="1" ht="18" customHeight="1" x14ac:dyDescent="0.25"/>
    <row r="477" s="13" customFormat="1" ht="18" customHeight="1" x14ac:dyDescent="0.25"/>
    <row r="478" s="13" customFormat="1" ht="18" customHeight="1" x14ac:dyDescent="0.25"/>
    <row r="479" s="13" customFormat="1" ht="18" customHeight="1" x14ac:dyDescent="0.25"/>
    <row r="480" s="13" customFormat="1" ht="18" customHeight="1" x14ac:dyDescent="0.25"/>
    <row r="481" s="13" customFormat="1" ht="18" customHeight="1" x14ac:dyDescent="0.25"/>
    <row r="482" s="13" customFormat="1" ht="18" customHeight="1" x14ac:dyDescent="0.25"/>
    <row r="483" s="13" customFormat="1" ht="18" customHeight="1" x14ac:dyDescent="0.25"/>
    <row r="484" s="13" customFormat="1" ht="18" customHeight="1" x14ac:dyDescent="0.25"/>
    <row r="485" s="13" customFormat="1" ht="18" customHeight="1" x14ac:dyDescent="0.25"/>
    <row r="486" s="13" customFormat="1" ht="18" customHeight="1" x14ac:dyDescent="0.25"/>
    <row r="487" s="13" customFormat="1" ht="18" customHeight="1" x14ac:dyDescent="0.25"/>
    <row r="488" s="13" customFormat="1" ht="18" customHeight="1" x14ac:dyDescent="0.25"/>
    <row r="489" s="13" customFormat="1" ht="18" customHeight="1" x14ac:dyDescent="0.25"/>
    <row r="490" s="13" customFormat="1" ht="18" customHeight="1" x14ac:dyDescent="0.25"/>
    <row r="491" s="13" customFormat="1" ht="18" customHeight="1" x14ac:dyDescent="0.25"/>
    <row r="492" s="13" customFormat="1" ht="18" customHeight="1" x14ac:dyDescent="0.25"/>
    <row r="493" s="13" customFormat="1" ht="18" customHeight="1" x14ac:dyDescent="0.25"/>
    <row r="494" s="13" customFormat="1" ht="18" customHeight="1" x14ac:dyDescent="0.25"/>
    <row r="495" s="13" customFormat="1" ht="18" customHeight="1" x14ac:dyDescent="0.25"/>
    <row r="496" s="13" customFormat="1" ht="18" customHeight="1" x14ac:dyDescent="0.25"/>
    <row r="497" s="13" customFormat="1" ht="18" customHeight="1" x14ac:dyDescent="0.25"/>
    <row r="498" s="13" customFormat="1" ht="18" customHeight="1" x14ac:dyDescent="0.25"/>
    <row r="499" s="13" customFormat="1" ht="18" customHeight="1" x14ac:dyDescent="0.25"/>
    <row r="500" s="13" customFormat="1" ht="18" customHeight="1" x14ac:dyDescent="0.25"/>
    <row r="501" s="13" customFormat="1" ht="18" customHeight="1" x14ac:dyDescent="0.25"/>
    <row r="502" s="13" customFormat="1" ht="18" customHeight="1" x14ac:dyDescent="0.25"/>
    <row r="503" s="13" customFormat="1" ht="18" customHeight="1" x14ac:dyDescent="0.25"/>
    <row r="504" s="13" customFormat="1" ht="18" customHeight="1" x14ac:dyDescent="0.25"/>
    <row r="505" s="13" customFormat="1" ht="18" customHeight="1" x14ac:dyDescent="0.25"/>
    <row r="506" s="13" customFormat="1" ht="18" customHeight="1" x14ac:dyDescent="0.25"/>
    <row r="507" s="13" customFormat="1" ht="18" customHeight="1" x14ac:dyDescent="0.25"/>
    <row r="508" s="13" customFormat="1" ht="18" customHeight="1" x14ac:dyDescent="0.25"/>
    <row r="509" s="13" customFormat="1" ht="18" customHeight="1" x14ac:dyDescent="0.25"/>
    <row r="510" s="13" customFormat="1" ht="18" customHeight="1" x14ac:dyDescent="0.25"/>
    <row r="511" s="13" customFormat="1" ht="18" customHeight="1" x14ac:dyDescent="0.25"/>
    <row r="512" s="13" customFormat="1" ht="18" customHeight="1" x14ac:dyDescent="0.25"/>
    <row r="513" s="13" customFormat="1" ht="18" customHeight="1" x14ac:dyDescent="0.25"/>
    <row r="514" s="13" customFormat="1" ht="18" customHeight="1" x14ac:dyDescent="0.25"/>
    <row r="515" s="13" customFormat="1" ht="18" customHeight="1" x14ac:dyDescent="0.25"/>
    <row r="516" s="13" customFormat="1" ht="18" customHeight="1" x14ac:dyDescent="0.25"/>
    <row r="517" s="13" customFormat="1" ht="18" customHeight="1" x14ac:dyDescent="0.25"/>
    <row r="518" s="13" customFormat="1" ht="18" customHeight="1" x14ac:dyDescent="0.25"/>
    <row r="519" s="13" customFormat="1" ht="18" customHeight="1" x14ac:dyDescent="0.25"/>
    <row r="520" s="13" customFormat="1" ht="18" customHeight="1" x14ac:dyDescent="0.25"/>
    <row r="521" s="13" customFormat="1" ht="18" customHeight="1" x14ac:dyDescent="0.25"/>
    <row r="522" s="13" customFormat="1" ht="18" customHeight="1" x14ac:dyDescent="0.25"/>
    <row r="523" s="13" customFormat="1" ht="18" customHeight="1" x14ac:dyDescent="0.25"/>
    <row r="524" s="13" customFormat="1" ht="18" customHeight="1" x14ac:dyDescent="0.25"/>
    <row r="525" s="13" customFormat="1" ht="18" customHeight="1" x14ac:dyDescent="0.25"/>
    <row r="526" s="13" customFormat="1" ht="18" customHeight="1" x14ac:dyDescent="0.25"/>
    <row r="527" s="13" customFormat="1" ht="18" customHeight="1" x14ac:dyDescent="0.25"/>
    <row r="528" s="13" customFormat="1" ht="18" customHeight="1" x14ac:dyDescent="0.25"/>
    <row r="529" s="13" customFormat="1" ht="18" customHeight="1" x14ac:dyDescent="0.25"/>
    <row r="530" s="13" customFormat="1" ht="18" customHeight="1" x14ac:dyDescent="0.25"/>
    <row r="531" s="13" customFormat="1" ht="18" customHeight="1" x14ac:dyDescent="0.25"/>
    <row r="532" s="13" customFormat="1" ht="18" customHeight="1" x14ac:dyDescent="0.25"/>
    <row r="533" s="13" customFormat="1" ht="18" customHeight="1" x14ac:dyDescent="0.25"/>
    <row r="534" s="13" customFormat="1" ht="18" customHeight="1" x14ac:dyDescent="0.25"/>
    <row r="535" s="13" customFormat="1" ht="18" customHeight="1" x14ac:dyDescent="0.25"/>
    <row r="536" s="13" customFormat="1" ht="18" customHeight="1" x14ac:dyDescent="0.25"/>
    <row r="537" s="13" customFormat="1" ht="18" customHeight="1" x14ac:dyDescent="0.25"/>
    <row r="538" s="13" customFormat="1" ht="18" customHeight="1" x14ac:dyDescent="0.25"/>
    <row r="539" s="13" customFormat="1" ht="18" customHeight="1" x14ac:dyDescent="0.25"/>
    <row r="540" s="13" customFormat="1" ht="18" customHeight="1" x14ac:dyDescent="0.25"/>
    <row r="541" s="13" customFormat="1" ht="18" customHeight="1" x14ac:dyDescent="0.25"/>
    <row r="542" s="13" customFormat="1" ht="18" customHeight="1" x14ac:dyDescent="0.25"/>
    <row r="543" s="13" customFormat="1" ht="18" customHeight="1" x14ac:dyDescent="0.25"/>
    <row r="544" s="13" customFormat="1" ht="18" customHeight="1" x14ac:dyDescent="0.25"/>
    <row r="545" s="13" customFormat="1" ht="18" customHeight="1" x14ac:dyDescent="0.25"/>
    <row r="546" s="13" customFormat="1" ht="18" customHeight="1" x14ac:dyDescent="0.25"/>
    <row r="547" s="13" customFormat="1" ht="18" customHeight="1" x14ac:dyDescent="0.25"/>
    <row r="548" s="13" customFormat="1" ht="18" customHeight="1" x14ac:dyDescent="0.25"/>
    <row r="549" s="13" customFormat="1" ht="18" customHeight="1" x14ac:dyDescent="0.25"/>
    <row r="550" s="13" customFormat="1" ht="18" customHeight="1" x14ac:dyDescent="0.25"/>
    <row r="551" s="13" customFormat="1" ht="18" customHeight="1" x14ac:dyDescent="0.25"/>
    <row r="552" s="13" customFormat="1" ht="18" customHeight="1" x14ac:dyDescent="0.25"/>
    <row r="553" s="13" customFormat="1" ht="18" customHeight="1" x14ac:dyDescent="0.25"/>
    <row r="554" s="13" customFormat="1" ht="18" customHeight="1" x14ac:dyDescent="0.25"/>
    <row r="555" s="13" customFormat="1" ht="18" customHeight="1" x14ac:dyDescent="0.25"/>
    <row r="556" s="13" customFormat="1" ht="18" customHeight="1" x14ac:dyDescent="0.25"/>
    <row r="557" s="13" customFormat="1" ht="18" customHeight="1" x14ac:dyDescent="0.25"/>
    <row r="558" s="13" customFormat="1" ht="18" customHeight="1" x14ac:dyDescent="0.25"/>
    <row r="559" s="13" customFormat="1" ht="18" customHeight="1" x14ac:dyDescent="0.25"/>
    <row r="560" s="13" customFormat="1" ht="18" customHeight="1" x14ac:dyDescent="0.25"/>
    <row r="561" s="13" customFormat="1" ht="18" customHeight="1" x14ac:dyDescent="0.25"/>
    <row r="562" s="13" customFormat="1" ht="18" customHeight="1" x14ac:dyDescent="0.25"/>
    <row r="563" s="13" customFormat="1" ht="18" customHeight="1" x14ac:dyDescent="0.25"/>
    <row r="564" s="13" customFormat="1" ht="18" customHeight="1" x14ac:dyDescent="0.25"/>
    <row r="565" s="13" customFormat="1" ht="18" customHeight="1" x14ac:dyDescent="0.25"/>
    <row r="566" s="13" customFormat="1" ht="18" customHeight="1" x14ac:dyDescent="0.25"/>
    <row r="567" s="13" customFormat="1" ht="18" customHeight="1" x14ac:dyDescent="0.25"/>
    <row r="568" s="13" customFormat="1" ht="18" customHeight="1" x14ac:dyDescent="0.25"/>
    <row r="569" s="13" customFormat="1" ht="18" customHeight="1" x14ac:dyDescent="0.25"/>
    <row r="570" s="13" customFormat="1" ht="18" customHeight="1" x14ac:dyDescent="0.25"/>
    <row r="571" s="13" customFormat="1" ht="18" customHeight="1" x14ac:dyDescent="0.25"/>
    <row r="572" s="13" customFormat="1" ht="18" customHeight="1" x14ac:dyDescent="0.25"/>
    <row r="573" s="13" customFormat="1" ht="18" customHeight="1" x14ac:dyDescent="0.25"/>
    <row r="574" s="13" customFormat="1" ht="18" customHeight="1" x14ac:dyDescent="0.25"/>
    <row r="575" s="13" customFormat="1" ht="18" customHeight="1" x14ac:dyDescent="0.25"/>
    <row r="576" s="13" customFormat="1" ht="18" customHeight="1" x14ac:dyDescent="0.25"/>
    <row r="577" s="13" customFormat="1" ht="18" customHeight="1" x14ac:dyDescent="0.25"/>
    <row r="578" s="13" customFormat="1" ht="18" customHeight="1" x14ac:dyDescent="0.25"/>
    <row r="579" s="13" customFormat="1" ht="18" customHeight="1" x14ac:dyDescent="0.25"/>
    <row r="580" s="13" customFormat="1" ht="18" customHeight="1" x14ac:dyDescent="0.25"/>
    <row r="581" s="13" customFormat="1" ht="18" customHeight="1" x14ac:dyDescent="0.25"/>
    <row r="582" s="13" customFormat="1" ht="18" customHeight="1" x14ac:dyDescent="0.25"/>
    <row r="583" s="13" customFormat="1" ht="18" customHeight="1" x14ac:dyDescent="0.25"/>
    <row r="584" s="13" customFormat="1" ht="18" customHeight="1" x14ac:dyDescent="0.25"/>
    <row r="585" s="13" customFormat="1" ht="18" customHeight="1" x14ac:dyDescent="0.25"/>
    <row r="586" s="13" customFormat="1" ht="18" customHeight="1" x14ac:dyDescent="0.25"/>
    <row r="587" s="13" customFormat="1" ht="18" customHeight="1" x14ac:dyDescent="0.25"/>
    <row r="588" s="13" customFormat="1" ht="18" customHeight="1" x14ac:dyDescent="0.25"/>
    <row r="589" s="13" customFormat="1" ht="18" customHeight="1" x14ac:dyDescent="0.25"/>
    <row r="590" s="13" customFormat="1" ht="18" customHeight="1" x14ac:dyDescent="0.25"/>
    <row r="591" s="13" customFormat="1" ht="18" customHeight="1" x14ac:dyDescent="0.25"/>
    <row r="592" s="13" customFormat="1" ht="18" customHeight="1" x14ac:dyDescent="0.25"/>
    <row r="593" s="13" customFormat="1" ht="18" customHeight="1" x14ac:dyDescent="0.25"/>
    <row r="594" s="13" customFormat="1" ht="18" customHeight="1" x14ac:dyDescent="0.25"/>
    <row r="595" s="13" customFormat="1" ht="18" customHeight="1" x14ac:dyDescent="0.25"/>
    <row r="596" s="13" customFormat="1" ht="18" customHeight="1" x14ac:dyDescent="0.25"/>
    <row r="597" s="13" customFormat="1" ht="18" customHeight="1" x14ac:dyDescent="0.25"/>
    <row r="598" s="13" customFormat="1" ht="18" customHeight="1" x14ac:dyDescent="0.25"/>
    <row r="599" s="13" customFormat="1" ht="18" customHeight="1" x14ac:dyDescent="0.25"/>
    <row r="600" s="13" customFormat="1" ht="18" customHeight="1" x14ac:dyDescent="0.25"/>
    <row r="601" s="13" customFormat="1" ht="18" customHeight="1" x14ac:dyDescent="0.25"/>
    <row r="602" s="13" customFormat="1" ht="18" customHeight="1" x14ac:dyDescent="0.25"/>
    <row r="603" s="13" customFormat="1" ht="18" customHeight="1" x14ac:dyDescent="0.25"/>
    <row r="604" s="13" customFormat="1" ht="18" customHeight="1" x14ac:dyDescent="0.25"/>
    <row r="605" s="13" customFormat="1" ht="18" customHeight="1" x14ac:dyDescent="0.25"/>
    <row r="606" s="13" customFormat="1" ht="18" customHeight="1" x14ac:dyDescent="0.25"/>
    <row r="607" s="13" customFormat="1" ht="18" customHeight="1" x14ac:dyDescent="0.25"/>
    <row r="608" s="13" customFormat="1" ht="18" customHeight="1" x14ac:dyDescent="0.25"/>
    <row r="609" s="13" customFormat="1" ht="18" customHeight="1" x14ac:dyDescent="0.25"/>
    <row r="610" s="13" customFormat="1" ht="18" customHeight="1" x14ac:dyDescent="0.25"/>
    <row r="611" s="13" customFormat="1" ht="18" customHeight="1" x14ac:dyDescent="0.25"/>
    <row r="612" s="13" customFormat="1" ht="18" customHeight="1" x14ac:dyDescent="0.25"/>
    <row r="613" s="13" customFormat="1" ht="18" customHeight="1" x14ac:dyDescent="0.25"/>
    <row r="614" s="13" customFormat="1" ht="18" customHeight="1" x14ac:dyDescent="0.25"/>
    <row r="615" s="13" customFormat="1" ht="18" customHeight="1" x14ac:dyDescent="0.25"/>
    <row r="616" s="13" customFormat="1" ht="18" customHeight="1" x14ac:dyDescent="0.25"/>
    <row r="617" s="13" customFormat="1" ht="18" customHeight="1" x14ac:dyDescent="0.25"/>
    <row r="618" s="13" customFormat="1" ht="18" customHeight="1" x14ac:dyDescent="0.25"/>
    <row r="619" s="13" customFormat="1" ht="18" customHeight="1" x14ac:dyDescent="0.25"/>
    <row r="620" s="13" customFormat="1" ht="18" customHeight="1" x14ac:dyDescent="0.25"/>
    <row r="621" s="13" customFormat="1" ht="18" customHeight="1" x14ac:dyDescent="0.25"/>
    <row r="622" s="13" customFormat="1" ht="18" customHeight="1" x14ac:dyDescent="0.25"/>
    <row r="623" s="13" customFormat="1" ht="18" customHeight="1" x14ac:dyDescent="0.25"/>
    <row r="624" s="13" customFormat="1" ht="18" customHeight="1" x14ac:dyDescent="0.25"/>
    <row r="625" s="13" customFormat="1" ht="18" customHeight="1" x14ac:dyDescent="0.25"/>
    <row r="626" s="13" customFormat="1" ht="18" customHeight="1" x14ac:dyDescent="0.25"/>
    <row r="627" s="13" customFormat="1" ht="18" customHeight="1" x14ac:dyDescent="0.25"/>
    <row r="628" s="13" customFormat="1" ht="18" customHeight="1" x14ac:dyDescent="0.25"/>
    <row r="629" s="13" customFormat="1" ht="18" customHeight="1" x14ac:dyDescent="0.25"/>
    <row r="630" s="13" customFormat="1" ht="18" customHeight="1" x14ac:dyDescent="0.25"/>
    <row r="631" s="13" customFormat="1" ht="18" customHeight="1" x14ac:dyDescent="0.25"/>
    <row r="632" s="13" customFormat="1" ht="18" customHeight="1" x14ac:dyDescent="0.25"/>
    <row r="633" s="13" customFormat="1" ht="18" customHeight="1" x14ac:dyDescent="0.25"/>
    <row r="634" s="13" customFormat="1" ht="18" customHeight="1" x14ac:dyDescent="0.25"/>
    <row r="635" s="13" customFormat="1" ht="18" customHeight="1" x14ac:dyDescent="0.25"/>
    <row r="636" s="13" customFormat="1" ht="18" customHeight="1" x14ac:dyDescent="0.25"/>
    <row r="637" s="13" customFormat="1" ht="18" customHeight="1" x14ac:dyDescent="0.25"/>
    <row r="638" s="13" customFormat="1" ht="18" customHeight="1" x14ac:dyDescent="0.25"/>
    <row r="639" s="13" customFormat="1" ht="18" customHeight="1" x14ac:dyDescent="0.25"/>
    <row r="640" s="13" customFormat="1" ht="18" customHeight="1" x14ac:dyDescent="0.25"/>
    <row r="641" s="13" customFormat="1" ht="18" customHeight="1" x14ac:dyDescent="0.25"/>
    <row r="642" s="13" customFormat="1" ht="18" customHeight="1" x14ac:dyDescent="0.25"/>
    <row r="643" s="13" customFormat="1" ht="18" customHeight="1" x14ac:dyDescent="0.25"/>
    <row r="644" s="13" customFormat="1" ht="18" customHeight="1" x14ac:dyDescent="0.25"/>
    <row r="645" s="13" customFormat="1" ht="18" customHeight="1" x14ac:dyDescent="0.25"/>
    <row r="646" s="13" customFormat="1" ht="18" customHeight="1" x14ac:dyDescent="0.25"/>
    <row r="647" s="13" customFormat="1" ht="18" customHeight="1" x14ac:dyDescent="0.25"/>
    <row r="648" s="13" customFormat="1" ht="18" customHeight="1" x14ac:dyDescent="0.25"/>
    <row r="649" s="13" customFormat="1" ht="18" customHeight="1" x14ac:dyDescent="0.25"/>
    <row r="650" s="13" customFormat="1" ht="18" customHeight="1" x14ac:dyDescent="0.25"/>
    <row r="651" s="13" customFormat="1" ht="18" customHeight="1" x14ac:dyDescent="0.25"/>
    <row r="652" s="13" customFormat="1" ht="18" customHeight="1" x14ac:dyDescent="0.25"/>
    <row r="653" s="13" customFormat="1" ht="18" customHeight="1" x14ac:dyDescent="0.25"/>
    <row r="654" s="13" customFormat="1" ht="18" customHeight="1" x14ac:dyDescent="0.25"/>
    <row r="655" s="13" customFormat="1" ht="18" customHeight="1" x14ac:dyDescent="0.25"/>
    <row r="656" s="13" customFormat="1" ht="18" customHeight="1" x14ac:dyDescent="0.25"/>
    <row r="657" s="13" customFormat="1" ht="18" customHeight="1" x14ac:dyDescent="0.25"/>
    <row r="658" s="13" customFormat="1" ht="18" customHeight="1" x14ac:dyDescent="0.25"/>
    <row r="659" s="13" customFormat="1" ht="18" customHeight="1" x14ac:dyDescent="0.25"/>
    <row r="660" s="13" customFormat="1" ht="18" customHeight="1" x14ac:dyDescent="0.25"/>
    <row r="661" s="13" customFormat="1" ht="18" customHeight="1" x14ac:dyDescent="0.25"/>
    <row r="662" s="13" customFormat="1" ht="18" customHeight="1" x14ac:dyDescent="0.25"/>
    <row r="663" s="13" customFormat="1" ht="18" customHeight="1" x14ac:dyDescent="0.25"/>
    <row r="664" s="13" customFormat="1" ht="18" customHeight="1" x14ac:dyDescent="0.25"/>
    <row r="665" s="13" customFormat="1" ht="18" customHeight="1" x14ac:dyDescent="0.25"/>
    <row r="666" s="13" customFormat="1" ht="18" customHeight="1" x14ac:dyDescent="0.25"/>
    <row r="667" s="13" customFormat="1" ht="18" customHeight="1" x14ac:dyDescent="0.25"/>
    <row r="668" s="13" customFormat="1" ht="18" customHeight="1" x14ac:dyDescent="0.25"/>
    <row r="669" s="13" customFormat="1" ht="18" customHeight="1" x14ac:dyDescent="0.25"/>
    <row r="670" s="13" customFormat="1" ht="18" customHeight="1" x14ac:dyDescent="0.25"/>
    <row r="671" s="13" customFormat="1" ht="18" customHeight="1" x14ac:dyDescent="0.25"/>
    <row r="672" s="13" customFormat="1" ht="18" customHeight="1" x14ac:dyDescent="0.25"/>
    <row r="673" s="13" customFormat="1" ht="18" customHeight="1" x14ac:dyDescent="0.25"/>
    <row r="674" s="13" customFormat="1" ht="18" customHeight="1" x14ac:dyDescent="0.25"/>
    <row r="675" s="13" customFormat="1" ht="18" customHeight="1" x14ac:dyDescent="0.25"/>
    <row r="676" s="13" customFormat="1" ht="18" customHeight="1" x14ac:dyDescent="0.25"/>
    <row r="677" s="13" customFormat="1" ht="18" customHeight="1" x14ac:dyDescent="0.25"/>
    <row r="678" s="13" customFormat="1" ht="18" customHeight="1" x14ac:dyDescent="0.25"/>
    <row r="679" s="13" customFormat="1" ht="18" customHeight="1" x14ac:dyDescent="0.25"/>
    <row r="680" s="13" customFormat="1" ht="18" customHeight="1" x14ac:dyDescent="0.25"/>
    <row r="681" s="13" customFormat="1" ht="18" customHeight="1" x14ac:dyDescent="0.25"/>
    <row r="682" s="13" customFormat="1" ht="18" customHeight="1" x14ac:dyDescent="0.25"/>
    <row r="683" s="13" customFormat="1" ht="18" customHeight="1" x14ac:dyDescent="0.25"/>
    <row r="684" s="13" customFormat="1" ht="18" customHeight="1" x14ac:dyDescent="0.25"/>
    <row r="685" s="13" customFormat="1" ht="18" customHeight="1" x14ac:dyDescent="0.25"/>
    <row r="686" s="13" customFormat="1" ht="18" customHeight="1" x14ac:dyDescent="0.25"/>
    <row r="687" s="13" customFormat="1" ht="18" customHeight="1" x14ac:dyDescent="0.25"/>
    <row r="688" s="13" customFormat="1" ht="18" customHeight="1" x14ac:dyDescent="0.25"/>
    <row r="689" s="13" customFormat="1" ht="18" customHeight="1" x14ac:dyDescent="0.25"/>
    <row r="690" s="13" customFormat="1" ht="18" customHeight="1" x14ac:dyDescent="0.25"/>
    <row r="691" s="13" customFormat="1" ht="18" customHeight="1" x14ac:dyDescent="0.25"/>
    <row r="692" s="13" customFormat="1" ht="18" customHeight="1" x14ac:dyDescent="0.25"/>
    <row r="693" s="13" customFormat="1" ht="18" customHeight="1" x14ac:dyDescent="0.25"/>
    <row r="694" s="13" customFormat="1" ht="18" customHeight="1" x14ac:dyDescent="0.25"/>
    <row r="695" s="13" customFormat="1" ht="18" customHeight="1" x14ac:dyDescent="0.25"/>
    <row r="696" s="13" customFormat="1" ht="18" customHeight="1" x14ac:dyDescent="0.25"/>
    <row r="697" s="13" customFormat="1" ht="18" customHeight="1" x14ac:dyDescent="0.25"/>
    <row r="698" s="13" customFormat="1" ht="18" customHeight="1" x14ac:dyDescent="0.25"/>
    <row r="699" s="13" customFormat="1" ht="18" customHeight="1" x14ac:dyDescent="0.25"/>
    <row r="700" s="13" customFormat="1" ht="18" customHeight="1" x14ac:dyDescent="0.25"/>
    <row r="701" s="13" customFormat="1" ht="18" customHeight="1" x14ac:dyDescent="0.25"/>
    <row r="702" s="13" customFormat="1" ht="18" customHeight="1" x14ac:dyDescent="0.25"/>
    <row r="703" s="13" customFormat="1" ht="18" customHeight="1" x14ac:dyDescent="0.25"/>
    <row r="704" s="13" customFormat="1" ht="18" customHeight="1" x14ac:dyDescent="0.25"/>
    <row r="705" s="13" customFormat="1" ht="18" customHeight="1" x14ac:dyDescent="0.25"/>
    <row r="706" s="13" customFormat="1" ht="18" customHeight="1" x14ac:dyDescent="0.25"/>
    <row r="707" s="13" customFormat="1" ht="18" customHeight="1" x14ac:dyDescent="0.25"/>
    <row r="708" s="13" customFormat="1" ht="18" customHeight="1" x14ac:dyDescent="0.25"/>
    <row r="709" s="13" customFormat="1" ht="18" customHeight="1" x14ac:dyDescent="0.25"/>
    <row r="710" s="13" customFormat="1" ht="18" customHeight="1" x14ac:dyDescent="0.25"/>
    <row r="711" s="13" customFormat="1" ht="18" customHeight="1" x14ac:dyDescent="0.25"/>
    <row r="712" s="13" customFormat="1" ht="18" customHeight="1" x14ac:dyDescent="0.25"/>
    <row r="713" s="13" customFormat="1" ht="18" customHeight="1" x14ac:dyDescent="0.25"/>
    <row r="714" s="13" customFormat="1" ht="18" customHeight="1" x14ac:dyDescent="0.25"/>
    <row r="715" s="13" customFormat="1" ht="18" customHeight="1" x14ac:dyDescent="0.25"/>
    <row r="716" s="13" customFormat="1" ht="18" customHeight="1" x14ac:dyDescent="0.25"/>
    <row r="717" s="13" customFormat="1" ht="18" customHeight="1" x14ac:dyDescent="0.25"/>
    <row r="718" s="13" customFormat="1" ht="18" customHeight="1" x14ac:dyDescent="0.25"/>
    <row r="719" s="13" customFormat="1" ht="18" customHeight="1" x14ac:dyDescent="0.25"/>
    <row r="720" s="13" customFormat="1" ht="18" customHeight="1" x14ac:dyDescent="0.25"/>
    <row r="721" s="13" customFormat="1" ht="18" customHeight="1" x14ac:dyDescent="0.25"/>
    <row r="722" s="13" customFormat="1" ht="18" customHeight="1" x14ac:dyDescent="0.25"/>
    <row r="723" s="13" customFormat="1" ht="18" customHeight="1" x14ac:dyDescent="0.25"/>
    <row r="724" s="13" customFormat="1" ht="18" customHeight="1" x14ac:dyDescent="0.25"/>
    <row r="725" s="13" customFormat="1" ht="18" customHeight="1" x14ac:dyDescent="0.25"/>
    <row r="726" s="13" customFormat="1" ht="18" customHeight="1" x14ac:dyDescent="0.25"/>
    <row r="727" s="13" customFormat="1" ht="18" customHeight="1" x14ac:dyDescent="0.25"/>
    <row r="728" s="13" customFormat="1" ht="18" customHeight="1" x14ac:dyDescent="0.25"/>
    <row r="729" s="13" customFormat="1" ht="18" customHeight="1" x14ac:dyDescent="0.25"/>
    <row r="730" s="13" customFormat="1" ht="18" customHeight="1" x14ac:dyDescent="0.25"/>
    <row r="731" s="13" customFormat="1" ht="18" customHeight="1" x14ac:dyDescent="0.25"/>
    <row r="732" s="13" customFormat="1" ht="18" customHeight="1" x14ac:dyDescent="0.25"/>
    <row r="733" s="13" customFormat="1" ht="18" customHeight="1" x14ac:dyDescent="0.25"/>
    <row r="734" s="13" customFormat="1" ht="18" customHeight="1" x14ac:dyDescent="0.25"/>
    <row r="735" s="13" customFormat="1" ht="18" customHeight="1" x14ac:dyDescent="0.25"/>
    <row r="736" s="13" customFormat="1" ht="18" customHeight="1" x14ac:dyDescent="0.25"/>
    <row r="737" s="13" customFormat="1" ht="18" customHeight="1" x14ac:dyDescent="0.25"/>
    <row r="738" s="13" customFormat="1" ht="18" customHeight="1" x14ac:dyDescent="0.25"/>
    <row r="739" s="13" customFormat="1" ht="18" customHeight="1" x14ac:dyDescent="0.25"/>
    <row r="740" s="13" customFormat="1" ht="18" customHeight="1" x14ac:dyDescent="0.25"/>
    <row r="741" s="13" customFormat="1" ht="18" customHeight="1" x14ac:dyDescent="0.25"/>
    <row r="742" s="13" customFormat="1" ht="18" customHeight="1" x14ac:dyDescent="0.25"/>
    <row r="743" s="13" customFormat="1" ht="18" customHeight="1" x14ac:dyDescent="0.25"/>
    <row r="744" s="13" customFormat="1" ht="18" customHeight="1" x14ac:dyDescent="0.25"/>
    <row r="745" s="13" customFormat="1" ht="18" customHeight="1" x14ac:dyDescent="0.25"/>
    <row r="746" s="13" customFormat="1" ht="18" customHeight="1" x14ac:dyDescent="0.25"/>
    <row r="747" s="13" customFormat="1" ht="18" customHeight="1" x14ac:dyDescent="0.25"/>
    <row r="748" s="13" customFormat="1" ht="18" customHeight="1" x14ac:dyDescent="0.25"/>
    <row r="749" s="13" customFormat="1" ht="18" customHeight="1" x14ac:dyDescent="0.25"/>
    <row r="750" s="13" customFormat="1" ht="18" customHeight="1" x14ac:dyDescent="0.25"/>
    <row r="751" s="13" customFormat="1" ht="18" customHeight="1" x14ac:dyDescent="0.25"/>
    <row r="752" s="13" customFormat="1" ht="18" customHeight="1" x14ac:dyDescent="0.25"/>
    <row r="753" s="13" customFormat="1" ht="18" customHeight="1" x14ac:dyDescent="0.25"/>
    <row r="754" s="13" customFormat="1" ht="18" customHeight="1" x14ac:dyDescent="0.25"/>
    <row r="755" s="13" customFormat="1" ht="18" customHeight="1" x14ac:dyDescent="0.25"/>
    <row r="756" s="13" customFormat="1" ht="18" customHeight="1" x14ac:dyDescent="0.25"/>
    <row r="757" s="13" customFormat="1" ht="18" customHeight="1" x14ac:dyDescent="0.25"/>
    <row r="758" s="13" customFormat="1" ht="18" customHeight="1" x14ac:dyDescent="0.25"/>
    <row r="759" s="13" customFormat="1" ht="18" customHeight="1" x14ac:dyDescent="0.25"/>
    <row r="760" s="13" customFormat="1" ht="18" customHeight="1" x14ac:dyDescent="0.25"/>
    <row r="761" s="13" customFormat="1" ht="18" customHeight="1" x14ac:dyDescent="0.25"/>
    <row r="762" s="13" customFormat="1" ht="18" customHeight="1" x14ac:dyDescent="0.25"/>
    <row r="763" s="13" customFormat="1" ht="18" customHeight="1" x14ac:dyDescent="0.25"/>
    <row r="764" s="13" customFormat="1" ht="18" customHeight="1" x14ac:dyDescent="0.25"/>
    <row r="765" s="13" customFormat="1" ht="18" customHeight="1" x14ac:dyDescent="0.25"/>
    <row r="766" s="13" customFormat="1" ht="18" customHeight="1" x14ac:dyDescent="0.25"/>
    <row r="767" s="13" customFormat="1" ht="18" customHeight="1" x14ac:dyDescent="0.25"/>
    <row r="768" s="13" customFormat="1" ht="18" customHeight="1" x14ac:dyDescent="0.25"/>
    <row r="769" s="13" customFormat="1" ht="18" customHeight="1" x14ac:dyDescent="0.25"/>
    <row r="770" s="13" customFormat="1" ht="18" customHeight="1" x14ac:dyDescent="0.25"/>
    <row r="771" s="13" customFormat="1" ht="18" customHeight="1" x14ac:dyDescent="0.25"/>
    <row r="772" s="13" customFormat="1" ht="18" customHeight="1" x14ac:dyDescent="0.25"/>
    <row r="773" s="13" customFormat="1" ht="18" customHeight="1" x14ac:dyDescent="0.25"/>
    <row r="774" s="13" customFormat="1" ht="18" customHeight="1" x14ac:dyDescent="0.25"/>
    <row r="775" s="13" customFormat="1" ht="18" customHeight="1" x14ac:dyDescent="0.25"/>
    <row r="776" s="13" customFormat="1" ht="18" customHeight="1" x14ac:dyDescent="0.25"/>
    <row r="777" s="13" customFormat="1" ht="18" customHeight="1" x14ac:dyDescent="0.25"/>
    <row r="778" s="13" customFormat="1" ht="18" customHeight="1" x14ac:dyDescent="0.25"/>
    <row r="779" s="13" customFormat="1" ht="18" customHeight="1" x14ac:dyDescent="0.25"/>
    <row r="780" s="13" customFormat="1" ht="18" customHeight="1" x14ac:dyDescent="0.25"/>
    <row r="781" s="13" customFormat="1" ht="18" customHeight="1" x14ac:dyDescent="0.25"/>
    <row r="782" s="13" customFormat="1" ht="18" customHeight="1" x14ac:dyDescent="0.25"/>
    <row r="783" s="13" customFormat="1" ht="18" customHeight="1" x14ac:dyDescent="0.25"/>
    <row r="784" s="13" customFormat="1" ht="18" customHeight="1" x14ac:dyDescent="0.25"/>
    <row r="785" s="13" customFormat="1" ht="18" customHeight="1" x14ac:dyDescent="0.25"/>
    <row r="786" s="13" customFormat="1" ht="18" customHeight="1" x14ac:dyDescent="0.25"/>
    <row r="787" s="13" customFormat="1" ht="18" customHeight="1" x14ac:dyDescent="0.25"/>
    <row r="788" s="13" customFormat="1" ht="18" customHeight="1" x14ac:dyDescent="0.25"/>
    <row r="789" s="13" customFormat="1" ht="18" customHeight="1" x14ac:dyDescent="0.25"/>
    <row r="790" s="13" customFormat="1" ht="18" customHeight="1" x14ac:dyDescent="0.25"/>
    <row r="791" s="13" customFormat="1" ht="18" customHeight="1" x14ac:dyDescent="0.25"/>
    <row r="792" s="13" customFormat="1" ht="18" customHeight="1" x14ac:dyDescent="0.25"/>
    <row r="793" s="13" customFormat="1" ht="18" customHeight="1" x14ac:dyDescent="0.25"/>
    <row r="794" s="13" customFormat="1" ht="18" customHeight="1" x14ac:dyDescent="0.25"/>
    <row r="795" s="13" customFormat="1" ht="18" customHeight="1" x14ac:dyDescent="0.25"/>
    <row r="796" s="13" customFormat="1" ht="18" customHeight="1" x14ac:dyDescent="0.25"/>
    <row r="797" s="13" customFormat="1" ht="18" customHeight="1" x14ac:dyDescent="0.25"/>
    <row r="798" s="13" customFormat="1" ht="18" customHeight="1" x14ac:dyDescent="0.25"/>
    <row r="799" s="13" customFormat="1" ht="18" customHeight="1" x14ac:dyDescent="0.25"/>
    <row r="800" s="13" customFormat="1" ht="18" customHeight="1" x14ac:dyDescent="0.25"/>
    <row r="801" s="13" customFormat="1" ht="18" customHeight="1" x14ac:dyDescent="0.25"/>
    <row r="802" s="13" customFormat="1" ht="18" customHeight="1" x14ac:dyDescent="0.25"/>
    <row r="803" s="13" customFormat="1" ht="18" customHeight="1" x14ac:dyDescent="0.25"/>
    <row r="804" s="13" customFormat="1" ht="18" customHeight="1" x14ac:dyDescent="0.25"/>
    <row r="805" s="13" customFormat="1" ht="18" customHeight="1" x14ac:dyDescent="0.25"/>
    <row r="806" s="13" customFormat="1" ht="18" customHeight="1" x14ac:dyDescent="0.25"/>
    <row r="807" s="13" customFormat="1" ht="18" customHeight="1" x14ac:dyDescent="0.25"/>
    <row r="808" s="13" customFormat="1" ht="18" customHeight="1" x14ac:dyDescent="0.25"/>
    <row r="809" s="13" customFormat="1" ht="18" customHeight="1" x14ac:dyDescent="0.25"/>
    <row r="810" s="13" customFormat="1" ht="18" customHeight="1" x14ac:dyDescent="0.25"/>
    <row r="811" s="13" customFormat="1" ht="18" customHeight="1" x14ac:dyDescent="0.25"/>
    <row r="812" s="13" customFormat="1" ht="18" customHeight="1" x14ac:dyDescent="0.25"/>
    <row r="813" s="13" customFormat="1" ht="18" customHeight="1" x14ac:dyDescent="0.25"/>
    <row r="814" s="13" customFormat="1" ht="18" customHeight="1" x14ac:dyDescent="0.25"/>
    <row r="815" s="13" customFormat="1" ht="18" customHeight="1" x14ac:dyDescent="0.25"/>
    <row r="816" s="13" customFormat="1" ht="18" customHeight="1" x14ac:dyDescent="0.25"/>
    <row r="817" s="13" customFormat="1" ht="18" customHeight="1" x14ac:dyDescent="0.25"/>
    <row r="818" s="13" customFormat="1" ht="18" customHeight="1" x14ac:dyDescent="0.25"/>
    <row r="819" s="13" customFormat="1" ht="18" customHeight="1" x14ac:dyDescent="0.25"/>
    <row r="820" s="13" customFormat="1" ht="18" customHeight="1" x14ac:dyDescent="0.25"/>
    <row r="821" s="13" customFormat="1" ht="18" customHeight="1" x14ac:dyDescent="0.25"/>
    <row r="822" s="13" customFormat="1" ht="18" customHeight="1" x14ac:dyDescent="0.25"/>
    <row r="823" s="13" customFormat="1" ht="18" customHeight="1" x14ac:dyDescent="0.25"/>
    <row r="824" s="13" customFormat="1" ht="18" customHeight="1" x14ac:dyDescent="0.25"/>
    <row r="825" s="13" customFormat="1" ht="18" customHeight="1" x14ac:dyDescent="0.25"/>
    <row r="826" s="13" customFormat="1" ht="18" customHeight="1" x14ac:dyDescent="0.25"/>
    <row r="827" s="13" customFormat="1" ht="18" customHeight="1" x14ac:dyDescent="0.25"/>
    <row r="828" s="13" customFormat="1" ht="18" customHeight="1" x14ac:dyDescent="0.25"/>
    <row r="829" s="13" customFormat="1" ht="18" customHeight="1" x14ac:dyDescent="0.25"/>
    <row r="830" s="13" customFormat="1" ht="18" customHeight="1" x14ac:dyDescent="0.25"/>
    <row r="831" s="13" customFormat="1" ht="18" customHeight="1" x14ac:dyDescent="0.25"/>
    <row r="832" s="13" customFormat="1" ht="18" customHeight="1" x14ac:dyDescent="0.25"/>
    <row r="833" s="13" customFormat="1" ht="18" customHeight="1" x14ac:dyDescent="0.25"/>
    <row r="834" s="13" customFormat="1" ht="18" customHeight="1" x14ac:dyDescent="0.25"/>
    <row r="835" s="13" customFormat="1" ht="18" customHeight="1" x14ac:dyDescent="0.25"/>
    <row r="836" s="13" customFormat="1" ht="18" customHeight="1" x14ac:dyDescent="0.25"/>
    <row r="837" s="13" customFormat="1" ht="18" customHeight="1" x14ac:dyDescent="0.25"/>
    <row r="838" s="13" customFormat="1" ht="18" customHeight="1" x14ac:dyDescent="0.25"/>
    <row r="839" s="13" customFormat="1" ht="18" customHeight="1" x14ac:dyDescent="0.25"/>
    <row r="840" s="13" customFormat="1" ht="18" customHeight="1" x14ac:dyDescent="0.25"/>
    <row r="841" s="13" customFormat="1" ht="18" customHeight="1" x14ac:dyDescent="0.25"/>
    <row r="842" s="13" customFormat="1" ht="18" customHeight="1" x14ac:dyDescent="0.25"/>
    <row r="843" s="13" customFormat="1" ht="18" customHeight="1" x14ac:dyDescent="0.25"/>
    <row r="844" s="13" customFormat="1" ht="18" customHeight="1" x14ac:dyDescent="0.25"/>
    <row r="845" s="13" customFormat="1" ht="18" customHeight="1" x14ac:dyDescent="0.25"/>
    <row r="846" s="13" customFormat="1" ht="18" customHeight="1" x14ac:dyDescent="0.25"/>
    <row r="847" s="13" customFormat="1" ht="18" customHeight="1" x14ac:dyDescent="0.25"/>
    <row r="848" s="13" customFormat="1" ht="18" customHeight="1" x14ac:dyDescent="0.25"/>
    <row r="849" s="13" customFormat="1" ht="18" customHeight="1" x14ac:dyDescent="0.25"/>
    <row r="850" s="13" customFormat="1" ht="18" customHeight="1" x14ac:dyDescent="0.25"/>
    <row r="851" s="13" customFormat="1" ht="18" customHeight="1" x14ac:dyDescent="0.25"/>
    <row r="852" s="13" customFormat="1" ht="18" customHeight="1" x14ac:dyDescent="0.25"/>
    <row r="853" s="13" customFormat="1" ht="18" customHeight="1" x14ac:dyDescent="0.25"/>
    <row r="854" s="13" customFormat="1" ht="18" customHeight="1" x14ac:dyDescent="0.25"/>
    <row r="855" s="13" customFormat="1" ht="18" customHeight="1" x14ac:dyDescent="0.25"/>
    <row r="856" s="13" customFormat="1" ht="18" customHeight="1" x14ac:dyDescent="0.25"/>
    <row r="857" s="13" customFormat="1" ht="18" customHeight="1" x14ac:dyDescent="0.25"/>
    <row r="858" s="13" customFormat="1" ht="18" customHeight="1" x14ac:dyDescent="0.25"/>
    <row r="859" s="13" customFormat="1" ht="18" customHeight="1" x14ac:dyDescent="0.25"/>
    <row r="860" s="13" customFormat="1" ht="18" customHeight="1" x14ac:dyDescent="0.25"/>
    <row r="861" s="13" customFormat="1" ht="18" customHeight="1" x14ac:dyDescent="0.25"/>
    <row r="862" s="13" customFormat="1" ht="18" customHeight="1" x14ac:dyDescent="0.25"/>
    <row r="863" s="13" customFormat="1" ht="18" customHeight="1" x14ac:dyDescent="0.25"/>
    <row r="864" s="13" customFormat="1" ht="18" customHeight="1" x14ac:dyDescent="0.25"/>
    <row r="865" s="13" customFormat="1" ht="18" customHeight="1" x14ac:dyDescent="0.25"/>
    <row r="866" s="13" customFormat="1" ht="18" customHeight="1" x14ac:dyDescent="0.25"/>
    <row r="867" s="13" customFormat="1" ht="18" customHeight="1" x14ac:dyDescent="0.25"/>
    <row r="868" s="13" customFormat="1" ht="18" customHeight="1" x14ac:dyDescent="0.25"/>
    <row r="869" s="13" customFormat="1" ht="18" customHeight="1" x14ac:dyDescent="0.25"/>
    <row r="870" s="13" customFormat="1" ht="18" customHeight="1" x14ac:dyDescent="0.25"/>
    <row r="871" s="13" customFormat="1" ht="18" customHeight="1" x14ac:dyDescent="0.25"/>
    <row r="872" s="13" customFormat="1" ht="18" customHeight="1" x14ac:dyDescent="0.25"/>
    <row r="873" s="13" customFormat="1" ht="18" customHeight="1" x14ac:dyDescent="0.25"/>
    <row r="874" s="13" customFormat="1" ht="18" customHeight="1" x14ac:dyDescent="0.25"/>
    <row r="875" s="13" customFormat="1" ht="18" customHeight="1" x14ac:dyDescent="0.25"/>
    <row r="876" s="13" customFormat="1" ht="18" customHeight="1" x14ac:dyDescent="0.25"/>
    <row r="877" s="13" customFormat="1" ht="18" customHeight="1" x14ac:dyDescent="0.25"/>
    <row r="878" s="13" customFormat="1" ht="18" customHeight="1" x14ac:dyDescent="0.25"/>
    <row r="879" s="13" customFormat="1" ht="18" customHeight="1" x14ac:dyDescent="0.25"/>
    <row r="880" s="13" customFormat="1" ht="18" customHeight="1" x14ac:dyDescent="0.25"/>
    <row r="881" s="13" customFormat="1" ht="18" customHeight="1" x14ac:dyDescent="0.25"/>
    <row r="882" s="13" customFormat="1" ht="18" customHeight="1" x14ac:dyDescent="0.25"/>
    <row r="883" s="13" customFormat="1" ht="18" customHeight="1" x14ac:dyDescent="0.25"/>
    <row r="884" s="13" customFormat="1" ht="18" customHeight="1" x14ac:dyDescent="0.25"/>
    <row r="885" s="13" customFormat="1" ht="18" customHeight="1" x14ac:dyDescent="0.25"/>
    <row r="886" s="13" customFormat="1" ht="18" customHeight="1" x14ac:dyDescent="0.25"/>
    <row r="887" s="13" customFormat="1" ht="18" customHeight="1" x14ac:dyDescent="0.25"/>
    <row r="888" s="13" customFormat="1" ht="18" customHeight="1" x14ac:dyDescent="0.25"/>
    <row r="889" s="13" customFormat="1" ht="18" customHeight="1" x14ac:dyDescent="0.25"/>
    <row r="890" s="13" customFormat="1" ht="18" customHeight="1" x14ac:dyDescent="0.25"/>
    <row r="891" s="13" customFormat="1" ht="18" customHeight="1" x14ac:dyDescent="0.25"/>
    <row r="892" s="13" customFormat="1" ht="18" customHeight="1" x14ac:dyDescent="0.25"/>
    <row r="893" s="13" customFormat="1" ht="18" customHeight="1" x14ac:dyDescent="0.25"/>
    <row r="894" s="13" customFormat="1" ht="18" customHeight="1" x14ac:dyDescent="0.25"/>
    <row r="895" s="13" customFormat="1" ht="18" customHeight="1" x14ac:dyDescent="0.25"/>
    <row r="896" s="13" customFormat="1" ht="18" customHeight="1" x14ac:dyDescent="0.25"/>
    <row r="897" s="13" customFormat="1" ht="18" customHeight="1" x14ac:dyDescent="0.25"/>
    <row r="898" s="13" customFormat="1" ht="18" customHeight="1" x14ac:dyDescent="0.25"/>
    <row r="899" s="13" customFormat="1" ht="18" customHeight="1" x14ac:dyDescent="0.25"/>
    <row r="900" s="13" customFormat="1" ht="18" customHeight="1" x14ac:dyDescent="0.25"/>
    <row r="901" s="13" customFormat="1" ht="18" customHeight="1" x14ac:dyDescent="0.25"/>
    <row r="902" s="13" customFormat="1" ht="18" customHeight="1" x14ac:dyDescent="0.25"/>
    <row r="903" s="13" customFormat="1" ht="18" customHeight="1" x14ac:dyDescent="0.25"/>
    <row r="904" s="13" customFormat="1" ht="18" customHeight="1" x14ac:dyDescent="0.25"/>
    <row r="905" s="13" customFormat="1" ht="18" customHeight="1" x14ac:dyDescent="0.25"/>
    <row r="906" s="13" customFormat="1" ht="18" customHeight="1" x14ac:dyDescent="0.25"/>
    <row r="907" s="13" customFormat="1" ht="18" customHeight="1" x14ac:dyDescent="0.25"/>
    <row r="908" s="13" customFormat="1" ht="18" customHeight="1" x14ac:dyDescent="0.25"/>
    <row r="909" s="13" customFormat="1" ht="18" customHeight="1" x14ac:dyDescent="0.25"/>
    <row r="910" s="13" customFormat="1" ht="18" customHeight="1" x14ac:dyDescent="0.25"/>
    <row r="911" s="13" customFormat="1" ht="18" customHeight="1" x14ac:dyDescent="0.25"/>
    <row r="912" s="13" customFormat="1" ht="18" customHeight="1" x14ac:dyDescent="0.25"/>
    <row r="913" s="13" customFormat="1" ht="18" customHeight="1" x14ac:dyDescent="0.25"/>
    <row r="914" s="13" customFormat="1" ht="18" customHeight="1" x14ac:dyDescent="0.25"/>
    <row r="915" s="13" customFormat="1" ht="18" customHeight="1" x14ac:dyDescent="0.25"/>
    <row r="916" s="13" customFormat="1" ht="18" customHeight="1" x14ac:dyDescent="0.25"/>
    <row r="917" s="13" customFormat="1" ht="18" customHeight="1" x14ac:dyDescent="0.25"/>
    <row r="918" s="13" customFormat="1" ht="18" customHeight="1" x14ac:dyDescent="0.25"/>
    <row r="919" s="13" customFormat="1" ht="18" customHeight="1" x14ac:dyDescent="0.25"/>
    <row r="920" s="13" customFormat="1" ht="18" customHeight="1" x14ac:dyDescent="0.25"/>
    <row r="921" s="13" customFormat="1" ht="18" customHeight="1" x14ac:dyDescent="0.25"/>
    <row r="922" s="13" customFormat="1" ht="18" customHeight="1" x14ac:dyDescent="0.25"/>
    <row r="923" s="13" customFormat="1" ht="18" customHeight="1" x14ac:dyDescent="0.25"/>
    <row r="924" s="13" customFormat="1" ht="18" customHeight="1" x14ac:dyDescent="0.25"/>
    <row r="925" s="13" customFormat="1" ht="18" customHeight="1" x14ac:dyDescent="0.25"/>
    <row r="926" s="13" customFormat="1" ht="18" customHeight="1" x14ac:dyDescent="0.25"/>
    <row r="927" s="13" customFormat="1" ht="18" customHeight="1" x14ac:dyDescent="0.25"/>
    <row r="928" s="13" customFormat="1" ht="18" customHeight="1" x14ac:dyDescent="0.25"/>
    <row r="929" s="13" customFormat="1" ht="18" customHeight="1" x14ac:dyDescent="0.25"/>
    <row r="930" s="13" customFormat="1" ht="18" customHeight="1" x14ac:dyDescent="0.25"/>
    <row r="931" s="13" customFormat="1" ht="18" customHeight="1" x14ac:dyDescent="0.25"/>
    <row r="932" s="13" customFormat="1" ht="18" customHeight="1" x14ac:dyDescent="0.25"/>
    <row r="933" s="13" customFormat="1" ht="18" customHeight="1" x14ac:dyDescent="0.25"/>
    <row r="934" s="13" customFormat="1" ht="18" customHeight="1" x14ac:dyDescent="0.25"/>
    <row r="935" s="13" customFormat="1" ht="18" customHeight="1" x14ac:dyDescent="0.25"/>
    <row r="936" s="13" customFormat="1" ht="18" customHeight="1" x14ac:dyDescent="0.25"/>
    <row r="937" s="13" customFormat="1" ht="18" customHeight="1" x14ac:dyDescent="0.25"/>
    <row r="938" s="13" customFormat="1" ht="18" customHeight="1" x14ac:dyDescent="0.25"/>
    <row r="939" s="13" customFormat="1" ht="18" customHeight="1" x14ac:dyDescent="0.25"/>
    <row r="940" s="13" customFormat="1" ht="18" customHeight="1" x14ac:dyDescent="0.25"/>
    <row r="941" s="13" customFormat="1" ht="18" customHeight="1" x14ac:dyDescent="0.25"/>
    <row r="942" s="13" customFormat="1" ht="18" customHeight="1" x14ac:dyDescent="0.25"/>
    <row r="943" s="13" customFormat="1" ht="18" customHeight="1" x14ac:dyDescent="0.25"/>
    <row r="944" s="13" customFormat="1" ht="18" customHeight="1" x14ac:dyDescent="0.25"/>
    <row r="945" s="13" customFormat="1" ht="18" customHeight="1" x14ac:dyDescent="0.25"/>
    <row r="946" s="13" customFormat="1" ht="18" customHeight="1" x14ac:dyDescent="0.25"/>
    <row r="947" s="13" customFormat="1" ht="18" customHeight="1" x14ac:dyDescent="0.25"/>
    <row r="948" s="13" customFormat="1" ht="18" customHeight="1" x14ac:dyDescent="0.25"/>
    <row r="949" s="13" customFormat="1" ht="18" customHeight="1" x14ac:dyDescent="0.25"/>
    <row r="950" s="13" customFormat="1" ht="18" customHeight="1" x14ac:dyDescent="0.25"/>
    <row r="951" s="13" customFormat="1" ht="18" customHeight="1" x14ac:dyDescent="0.25"/>
    <row r="952" s="13" customFormat="1" ht="18" customHeight="1" x14ac:dyDescent="0.25"/>
    <row r="953" s="13" customFormat="1" ht="18" customHeight="1" x14ac:dyDescent="0.25"/>
    <row r="954" s="13" customFormat="1" ht="18" customHeight="1" x14ac:dyDescent="0.25"/>
    <row r="955" s="13" customFormat="1" ht="18" customHeight="1" x14ac:dyDescent="0.25"/>
    <row r="956" s="13" customFormat="1" ht="18" customHeight="1" x14ac:dyDescent="0.25"/>
    <row r="957" s="13" customFormat="1" ht="18" customHeight="1" x14ac:dyDescent="0.25"/>
    <row r="958" s="13" customFormat="1" ht="18" customHeight="1" x14ac:dyDescent="0.25"/>
    <row r="959" s="13" customFormat="1" ht="18" customHeight="1" x14ac:dyDescent="0.25"/>
    <row r="960" s="13" customFormat="1" ht="18" customHeight="1" x14ac:dyDescent="0.25"/>
    <row r="961" s="13" customFormat="1" ht="18" customHeight="1" x14ac:dyDescent="0.25"/>
    <row r="962" s="13" customFormat="1" ht="18" customHeight="1" x14ac:dyDescent="0.25"/>
    <row r="963" s="13" customFormat="1" ht="18" customHeight="1" x14ac:dyDescent="0.25"/>
    <row r="964" s="13" customFormat="1" ht="18" customHeight="1" x14ac:dyDescent="0.25"/>
    <row r="965" s="13" customFormat="1" ht="18" customHeight="1" x14ac:dyDescent="0.25"/>
    <row r="966" s="13" customFormat="1" ht="18" customHeight="1" x14ac:dyDescent="0.25"/>
    <row r="967" s="13" customFormat="1" ht="18" customHeight="1" x14ac:dyDescent="0.25"/>
    <row r="968" s="13" customFormat="1" ht="18" customHeight="1" x14ac:dyDescent="0.25"/>
    <row r="969" s="13" customFormat="1" ht="18" customHeight="1" x14ac:dyDescent="0.25"/>
    <row r="970" s="13" customFormat="1" ht="18" customHeight="1" x14ac:dyDescent="0.25"/>
    <row r="971" s="13" customFormat="1" ht="18" customHeight="1" x14ac:dyDescent="0.25"/>
    <row r="972" s="13" customFormat="1" ht="18" customHeight="1" x14ac:dyDescent="0.25"/>
    <row r="973" s="13" customFormat="1" ht="18" customHeight="1" x14ac:dyDescent="0.25"/>
    <row r="974" s="13" customFormat="1" ht="18" customHeight="1" x14ac:dyDescent="0.25"/>
    <row r="975" s="13" customFormat="1" ht="18" customHeight="1" x14ac:dyDescent="0.25"/>
    <row r="976" s="13" customFormat="1" ht="18" customHeight="1" x14ac:dyDescent="0.25"/>
    <row r="977" s="13" customFormat="1" ht="18" customHeight="1" x14ac:dyDescent="0.25"/>
    <row r="978" s="13" customFormat="1" ht="18" customHeight="1" x14ac:dyDescent="0.25"/>
    <row r="979" s="13" customFormat="1" ht="18" customHeight="1" x14ac:dyDescent="0.25"/>
    <row r="980" s="13" customFormat="1" ht="18" customHeight="1" x14ac:dyDescent="0.25"/>
    <row r="981" s="13" customFormat="1" ht="18" customHeight="1" x14ac:dyDescent="0.25"/>
    <row r="982" s="13" customFormat="1" ht="18" customHeight="1" x14ac:dyDescent="0.25"/>
    <row r="983" s="13" customFormat="1" ht="18" customHeight="1" x14ac:dyDescent="0.25"/>
    <row r="984" s="13" customFormat="1" ht="18" customHeight="1" x14ac:dyDescent="0.25"/>
    <row r="985" s="13" customFormat="1" ht="18" customHeight="1" x14ac:dyDescent="0.25"/>
    <row r="986" s="13" customFormat="1" ht="18" customHeight="1" x14ac:dyDescent="0.25"/>
    <row r="987" s="13" customFormat="1" ht="18" customHeight="1" x14ac:dyDescent="0.25"/>
    <row r="988" s="13" customFormat="1" ht="18" customHeight="1" x14ac:dyDescent="0.25"/>
    <row r="989" s="13" customFormat="1" ht="18" customHeight="1" x14ac:dyDescent="0.25"/>
    <row r="990" s="13" customFormat="1" ht="18" customHeight="1" x14ac:dyDescent="0.25"/>
    <row r="991" s="13" customFormat="1" ht="18" customHeight="1" x14ac:dyDescent="0.25"/>
    <row r="992" s="13" customFormat="1" ht="18" customHeight="1" x14ac:dyDescent="0.25"/>
    <row r="993" s="13" customFormat="1" ht="18" customHeight="1" x14ac:dyDescent="0.25"/>
    <row r="994" s="13" customFormat="1" ht="18" customHeight="1" x14ac:dyDescent="0.25"/>
    <row r="995" s="13" customFormat="1" ht="18" customHeight="1" x14ac:dyDescent="0.25"/>
    <row r="996" s="13" customFormat="1" ht="18" customHeight="1" x14ac:dyDescent="0.25"/>
    <row r="997" s="13" customFormat="1" ht="18" customHeight="1" x14ac:dyDescent="0.25"/>
    <row r="998" s="13" customFormat="1" ht="18" customHeight="1" x14ac:dyDescent="0.25"/>
    <row r="999" s="13" customFormat="1" ht="18" customHeight="1" x14ac:dyDescent="0.25"/>
    <row r="1000" s="13" customFormat="1" ht="18" customHeight="1" x14ac:dyDescent="0.25"/>
    <row r="1001" s="13" customFormat="1" ht="18" customHeight="1" x14ac:dyDescent="0.25"/>
    <row r="1002" s="13" customFormat="1" ht="18" customHeight="1" x14ac:dyDescent="0.25"/>
    <row r="1003" s="13" customFormat="1" ht="18" customHeight="1" x14ac:dyDescent="0.25"/>
    <row r="1004" s="13" customFormat="1" ht="18" customHeight="1" x14ac:dyDescent="0.25"/>
    <row r="1005" s="13" customFormat="1" ht="18" customHeight="1" x14ac:dyDescent="0.25"/>
    <row r="1006" s="13" customFormat="1" ht="18" customHeight="1" x14ac:dyDescent="0.25"/>
    <row r="1007" s="13" customFormat="1" ht="18" customHeight="1" x14ac:dyDescent="0.25"/>
    <row r="1008" s="13" customFormat="1" ht="18" customHeight="1" x14ac:dyDescent="0.25"/>
    <row r="1009" s="13" customFormat="1" ht="18" customHeight="1" x14ac:dyDescent="0.25"/>
    <row r="1010" s="13" customFormat="1" ht="18" customHeight="1" x14ac:dyDescent="0.25"/>
    <row r="1011" s="13" customFormat="1" ht="18" customHeight="1" x14ac:dyDescent="0.25"/>
    <row r="1012" s="13" customFormat="1" ht="18" customHeight="1" x14ac:dyDescent="0.25"/>
    <row r="1013" s="13" customFormat="1" ht="18" customHeight="1" x14ac:dyDescent="0.25"/>
    <row r="1014" s="13" customFormat="1" ht="18" customHeight="1" x14ac:dyDescent="0.25"/>
    <row r="1015" s="13" customFormat="1" ht="18" customHeight="1" x14ac:dyDescent="0.25"/>
    <row r="1016" s="13" customFormat="1" ht="18" customHeight="1" x14ac:dyDescent="0.25"/>
    <row r="1017" s="13" customFormat="1" ht="18" customHeight="1" x14ac:dyDescent="0.25"/>
    <row r="1018" s="13" customFormat="1" ht="18" customHeight="1" x14ac:dyDescent="0.25"/>
    <row r="1019" s="13" customFormat="1" ht="18" customHeight="1" x14ac:dyDescent="0.25"/>
    <row r="1020" s="13" customFormat="1" ht="18" customHeight="1" x14ac:dyDescent="0.25"/>
    <row r="1021" s="13" customFormat="1" ht="18" customHeight="1" x14ac:dyDescent="0.25"/>
    <row r="1022" s="13" customFormat="1" ht="18" customHeight="1" x14ac:dyDescent="0.25"/>
    <row r="1023" s="13" customFormat="1" ht="18" customHeight="1" x14ac:dyDescent="0.25"/>
    <row r="1024" s="13" customFormat="1" ht="18" customHeight="1" x14ac:dyDescent="0.25"/>
    <row r="1025" s="13" customFormat="1" ht="18" customHeight="1" x14ac:dyDescent="0.25"/>
    <row r="1026" s="13" customFormat="1" ht="18" customHeight="1" x14ac:dyDescent="0.25"/>
    <row r="1027" s="13" customFormat="1" ht="18" customHeight="1" x14ac:dyDescent="0.25"/>
    <row r="1028" s="13" customFormat="1" ht="18" customHeight="1" x14ac:dyDescent="0.25"/>
    <row r="1029" s="13" customFormat="1" ht="18" customHeight="1" x14ac:dyDescent="0.25"/>
    <row r="1030" s="13" customFormat="1" ht="18" customHeight="1" x14ac:dyDescent="0.25"/>
    <row r="1031" s="13" customFormat="1" ht="18" customHeight="1" x14ac:dyDescent="0.25"/>
    <row r="1032" s="13" customFormat="1" ht="18" customHeight="1" x14ac:dyDescent="0.25"/>
    <row r="1033" s="13" customFormat="1" ht="18" customHeight="1" x14ac:dyDescent="0.25"/>
    <row r="1034" s="13" customFormat="1" ht="18" customHeight="1" x14ac:dyDescent="0.25"/>
    <row r="1035" s="13" customFormat="1" ht="18" customHeight="1" x14ac:dyDescent="0.25"/>
    <row r="1036" s="13" customFormat="1" ht="18" customHeight="1" x14ac:dyDescent="0.25"/>
    <row r="1037" s="13" customFormat="1" ht="18" customHeight="1" x14ac:dyDescent="0.25"/>
    <row r="1038" s="13" customFormat="1" ht="18" customHeight="1" x14ac:dyDescent="0.25"/>
    <row r="1039" s="13" customFormat="1" ht="18" customHeight="1" x14ac:dyDescent="0.25"/>
    <row r="1040" s="13" customFormat="1" ht="18" customHeight="1" x14ac:dyDescent="0.25"/>
    <row r="1041" s="13" customFormat="1" ht="18" customHeight="1" x14ac:dyDescent="0.25"/>
    <row r="1042" s="13" customFormat="1" ht="18" customHeight="1" x14ac:dyDescent="0.25"/>
    <row r="1043" s="13" customFormat="1" ht="18" customHeight="1" x14ac:dyDescent="0.25"/>
    <row r="1044" s="13" customFormat="1" ht="18" customHeight="1" x14ac:dyDescent="0.25"/>
    <row r="1045" s="13" customFormat="1" ht="18" customHeight="1" x14ac:dyDescent="0.25"/>
    <row r="1046" s="13" customFormat="1" ht="18" customHeight="1" x14ac:dyDescent="0.25"/>
    <row r="1047" s="13" customFormat="1" ht="18" customHeight="1" x14ac:dyDescent="0.25"/>
    <row r="1048" s="13" customFormat="1" ht="18" customHeight="1" x14ac:dyDescent="0.25"/>
    <row r="1049" s="13" customFormat="1" ht="18" customHeight="1" x14ac:dyDescent="0.25"/>
    <row r="1050" s="13" customFormat="1" ht="18" customHeight="1" x14ac:dyDescent="0.25"/>
    <row r="1051" s="13" customFormat="1" ht="18" customHeight="1" x14ac:dyDescent="0.25"/>
    <row r="1052" s="13" customFormat="1" ht="18" customHeight="1" x14ac:dyDescent="0.25"/>
    <row r="1053" s="13" customFormat="1" ht="18" customHeight="1" x14ac:dyDescent="0.25"/>
    <row r="1054" s="13" customFormat="1" ht="18" customHeight="1" x14ac:dyDescent="0.25"/>
    <row r="1055" s="13" customFormat="1" ht="18" customHeight="1" x14ac:dyDescent="0.25"/>
    <row r="1056" s="13" customFormat="1" ht="18" customHeight="1" x14ac:dyDescent="0.25"/>
    <row r="1057" s="13" customFormat="1" ht="18" customHeight="1" x14ac:dyDescent="0.25"/>
    <row r="1058" s="13" customFormat="1" ht="18" customHeight="1" x14ac:dyDescent="0.25"/>
    <row r="1059" s="13" customFormat="1" ht="18" customHeight="1" x14ac:dyDescent="0.25"/>
    <row r="1060" s="13" customFormat="1" ht="18" customHeight="1" x14ac:dyDescent="0.25"/>
    <row r="1061" s="13" customFormat="1" ht="18" customHeight="1" x14ac:dyDescent="0.25"/>
    <row r="1062" s="13" customFormat="1" ht="18" customHeight="1" x14ac:dyDescent="0.25"/>
    <row r="1063" s="13" customFormat="1" ht="18" customHeight="1" x14ac:dyDescent="0.25"/>
    <row r="1064" s="13" customFormat="1" ht="18" customHeight="1" x14ac:dyDescent="0.25"/>
    <row r="1065" s="13" customFormat="1" ht="18" customHeight="1" x14ac:dyDescent="0.25"/>
    <row r="1066" s="13" customFormat="1" ht="18" customHeight="1" x14ac:dyDescent="0.25"/>
    <row r="1067" s="13" customFormat="1" ht="18" customHeight="1" x14ac:dyDescent="0.25"/>
    <row r="1068" s="13" customFormat="1" ht="18" customHeight="1" x14ac:dyDescent="0.25"/>
    <row r="1069" s="13" customFormat="1" ht="18" customHeight="1" x14ac:dyDescent="0.25"/>
    <row r="1070" s="13" customFormat="1" ht="18" customHeight="1" x14ac:dyDescent="0.25"/>
    <row r="1071" s="13" customFormat="1" ht="18" customHeight="1" x14ac:dyDescent="0.25"/>
    <row r="1072" s="13" customFormat="1" ht="18" customHeight="1" x14ac:dyDescent="0.25"/>
    <row r="1073" s="13" customFormat="1" ht="18" customHeight="1" x14ac:dyDescent="0.25"/>
    <row r="1074" s="13" customFormat="1" ht="18" customHeight="1" x14ac:dyDescent="0.25"/>
    <row r="1075" s="13" customFormat="1" ht="18" customHeight="1" x14ac:dyDescent="0.25"/>
    <row r="1076" s="13" customFormat="1" ht="18" customHeight="1" x14ac:dyDescent="0.25"/>
    <row r="1077" s="13" customFormat="1" ht="18" customHeight="1" x14ac:dyDescent="0.25"/>
    <row r="1078" s="13" customFormat="1" ht="18" customHeight="1" x14ac:dyDescent="0.25"/>
    <row r="1079" s="13" customFormat="1" ht="18" customHeight="1" x14ac:dyDescent="0.25"/>
    <row r="1080" s="13" customFormat="1" ht="18" customHeight="1" x14ac:dyDescent="0.25"/>
    <row r="1081" s="13" customFormat="1" ht="18" customHeight="1" x14ac:dyDescent="0.25"/>
    <row r="1082" s="13" customFormat="1" ht="18" customHeight="1" x14ac:dyDescent="0.25"/>
    <row r="1083" s="13" customFormat="1" ht="18" customHeight="1" x14ac:dyDescent="0.25"/>
    <row r="1084" s="13" customFormat="1" ht="18" customHeight="1" x14ac:dyDescent="0.25"/>
    <row r="1085" s="13" customFormat="1" ht="18" customHeight="1" x14ac:dyDescent="0.25"/>
    <row r="1086" s="13" customFormat="1" ht="18" customHeight="1" x14ac:dyDescent="0.25"/>
    <row r="1087" s="13" customFormat="1" ht="18" customHeight="1" x14ac:dyDescent="0.25"/>
    <row r="1088" s="13" customFormat="1" ht="18" customHeight="1" x14ac:dyDescent="0.25"/>
    <row r="1089" s="13" customFormat="1" ht="18" customHeight="1" x14ac:dyDescent="0.25"/>
    <row r="1090" s="13" customFormat="1" ht="18" customHeight="1" x14ac:dyDescent="0.25"/>
    <row r="1091" s="13" customFormat="1" ht="18" customHeight="1" x14ac:dyDescent="0.25"/>
    <row r="1092" s="13" customFormat="1" ht="18" customHeight="1" x14ac:dyDescent="0.25"/>
    <row r="1093" s="13" customFormat="1" ht="18" customHeight="1" x14ac:dyDescent="0.25"/>
    <row r="1094" s="13" customFormat="1" ht="18" customHeight="1" x14ac:dyDescent="0.25"/>
    <row r="1095" s="13" customFormat="1" ht="18" customHeight="1" x14ac:dyDescent="0.25"/>
    <row r="1096" s="13" customFormat="1" ht="18" customHeight="1" x14ac:dyDescent="0.25"/>
    <row r="1097" s="13" customFormat="1" ht="18" customHeight="1" x14ac:dyDescent="0.25"/>
    <row r="1098" s="13" customFormat="1" ht="18" customHeight="1" x14ac:dyDescent="0.25"/>
    <row r="1099" s="13" customFormat="1" ht="18" customHeight="1" x14ac:dyDescent="0.25"/>
    <row r="1100" s="13" customFormat="1" ht="18" customHeight="1" x14ac:dyDescent="0.25"/>
    <row r="1101" s="13" customFormat="1" ht="18" customHeight="1" x14ac:dyDescent="0.25"/>
    <row r="1102" s="13" customFormat="1" ht="18" customHeight="1" x14ac:dyDescent="0.25"/>
    <row r="1103" s="13" customFormat="1" ht="18" customHeight="1" x14ac:dyDescent="0.25"/>
    <row r="1104" s="13" customFormat="1" ht="18" customHeight="1" x14ac:dyDescent="0.25"/>
    <row r="1105" s="13" customFormat="1" ht="18" customHeight="1" x14ac:dyDescent="0.25"/>
    <row r="1106" s="13" customFormat="1" ht="18" customHeight="1" x14ac:dyDescent="0.25"/>
    <row r="1107" s="13" customFormat="1" ht="18" customHeight="1" x14ac:dyDescent="0.25"/>
    <row r="1108" s="13" customFormat="1" ht="18" customHeight="1" x14ac:dyDescent="0.25"/>
    <row r="1109" s="13" customFormat="1" ht="18" customHeight="1" x14ac:dyDescent="0.25"/>
    <row r="1110" s="13" customFormat="1" ht="18" customHeight="1" x14ac:dyDescent="0.25"/>
    <row r="1111" s="13" customFormat="1" ht="18" customHeight="1" x14ac:dyDescent="0.25"/>
    <row r="1112" s="13" customFormat="1" ht="18" customHeight="1" x14ac:dyDescent="0.25"/>
    <row r="1113" s="13" customFormat="1" ht="18" customHeight="1" x14ac:dyDescent="0.25"/>
    <row r="1114" s="13" customFormat="1" ht="18" customHeight="1" x14ac:dyDescent="0.25"/>
    <row r="1115" s="13" customFormat="1" ht="18" customHeight="1" x14ac:dyDescent="0.25"/>
    <row r="1116" s="13" customFormat="1" ht="18" customHeight="1" x14ac:dyDescent="0.25"/>
    <row r="1117" s="13" customFormat="1" ht="18" customHeight="1" x14ac:dyDescent="0.25"/>
    <row r="1118" s="13" customFormat="1" ht="18" customHeight="1" x14ac:dyDescent="0.25"/>
    <row r="1119" s="13" customFormat="1" ht="18" customHeight="1" x14ac:dyDescent="0.25"/>
    <row r="1120" s="13" customFormat="1" ht="18" customHeight="1" x14ac:dyDescent="0.25"/>
    <row r="1121" s="13" customFormat="1" ht="18" customHeight="1" x14ac:dyDescent="0.25"/>
    <row r="1122" s="13" customFormat="1" ht="18" customHeight="1" x14ac:dyDescent="0.25"/>
    <row r="1123" s="13" customFormat="1" ht="18" customHeight="1" x14ac:dyDescent="0.25"/>
    <row r="1124" s="13" customFormat="1" ht="18" customHeight="1" x14ac:dyDescent="0.25"/>
    <row r="1125" s="13" customFormat="1" ht="18" customHeight="1" x14ac:dyDescent="0.25"/>
    <row r="1126" s="13" customFormat="1" ht="18" customHeight="1" x14ac:dyDescent="0.25"/>
    <row r="1127" s="13" customFormat="1" ht="18" customHeight="1" x14ac:dyDescent="0.25"/>
    <row r="1128" s="13" customFormat="1" ht="18" customHeight="1" x14ac:dyDescent="0.25"/>
    <row r="1129" s="13" customFormat="1" ht="18" customHeight="1" x14ac:dyDescent="0.25"/>
    <row r="1130" s="13" customFormat="1" ht="18" customHeight="1" x14ac:dyDescent="0.25"/>
    <row r="1131" s="13" customFormat="1" ht="18" customHeight="1" x14ac:dyDescent="0.25"/>
    <row r="1132" s="13" customFormat="1" ht="18" customHeight="1" x14ac:dyDescent="0.25"/>
    <row r="1133" s="13" customFormat="1" ht="18" customHeight="1" x14ac:dyDescent="0.25"/>
    <row r="1134" s="13" customFormat="1" ht="18" customHeight="1" x14ac:dyDescent="0.25"/>
    <row r="1135" s="13" customFormat="1" ht="18" customHeight="1" x14ac:dyDescent="0.25"/>
    <row r="1136" s="13" customFormat="1" ht="18" customHeight="1" x14ac:dyDescent="0.25"/>
    <row r="1137" s="13" customFormat="1" ht="18" customHeight="1" x14ac:dyDescent="0.25"/>
    <row r="1138" s="13" customFormat="1" ht="18" customHeight="1" x14ac:dyDescent="0.25"/>
    <row r="1139" s="13" customFormat="1" ht="18" customHeight="1" x14ac:dyDescent="0.25"/>
    <row r="1140" s="13" customFormat="1" ht="18" customHeight="1" x14ac:dyDescent="0.25"/>
    <row r="1141" s="13" customFormat="1" ht="18" customHeight="1" x14ac:dyDescent="0.25"/>
    <row r="1142" s="13" customFormat="1" ht="18" customHeight="1" x14ac:dyDescent="0.25"/>
    <row r="1143" s="13" customFormat="1" ht="18" customHeight="1" x14ac:dyDescent="0.25"/>
    <row r="1144" s="13" customFormat="1" ht="18" customHeight="1" x14ac:dyDescent="0.25"/>
    <row r="1145" s="13" customFormat="1" ht="18" customHeight="1" x14ac:dyDescent="0.25"/>
    <row r="1146" s="13" customFormat="1" ht="18" customHeight="1" x14ac:dyDescent="0.25"/>
    <row r="1147" s="13" customFormat="1" ht="18" customHeight="1" x14ac:dyDescent="0.25"/>
    <row r="1148" s="13" customFormat="1" ht="18" customHeight="1" x14ac:dyDescent="0.25"/>
    <row r="1149" s="13" customFormat="1" ht="18" customHeight="1" x14ac:dyDescent="0.25"/>
    <row r="1150" s="13" customFormat="1" ht="18" customHeight="1" x14ac:dyDescent="0.25"/>
    <row r="1151" s="13" customFormat="1" ht="18" customHeight="1" x14ac:dyDescent="0.25"/>
    <row r="1152" s="13" customFormat="1" ht="18" customHeight="1" x14ac:dyDescent="0.25"/>
    <row r="1153" s="13" customFormat="1" ht="18" customHeight="1" x14ac:dyDescent="0.25"/>
    <row r="1154" s="13" customFormat="1" ht="18" customHeight="1" x14ac:dyDescent="0.25"/>
    <row r="1155" s="13" customFormat="1" ht="18" customHeight="1" x14ac:dyDescent="0.25"/>
    <row r="1156" s="13" customFormat="1" ht="18" customHeight="1" x14ac:dyDescent="0.25"/>
    <row r="1157" s="13" customFormat="1" ht="18" customHeight="1" x14ac:dyDescent="0.25"/>
    <row r="1158" s="13" customFormat="1" ht="18" customHeight="1" x14ac:dyDescent="0.25"/>
    <row r="1159" s="13" customFormat="1" ht="18" customHeight="1" x14ac:dyDescent="0.25"/>
    <row r="1160" s="13" customFormat="1" ht="18" customHeight="1" x14ac:dyDescent="0.25"/>
    <row r="1161" s="13" customFormat="1" ht="18" customHeight="1" x14ac:dyDescent="0.25"/>
    <row r="1162" s="13" customFormat="1" ht="18" customHeight="1" x14ac:dyDescent="0.25"/>
    <row r="1163" s="13" customFormat="1" ht="18" customHeight="1" x14ac:dyDescent="0.25"/>
    <row r="1164" s="13" customFormat="1" ht="18" customHeight="1" x14ac:dyDescent="0.25"/>
    <row r="1165" s="13" customFormat="1" ht="18" customHeight="1" x14ac:dyDescent="0.25"/>
    <row r="1166" s="13" customFormat="1" ht="18" customHeight="1" x14ac:dyDescent="0.25"/>
    <row r="1167" s="13" customFormat="1" ht="18" customHeight="1" x14ac:dyDescent="0.25"/>
    <row r="1168" s="13" customFormat="1" ht="18" customHeight="1" x14ac:dyDescent="0.25"/>
    <row r="1169" s="13" customFormat="1" ht="18" customHeight="1" x14ac:dyDescent="0.25"/>
    <row r="1170" s="13" customFormat="1" ht="18" customHeight="1" x14ac:dyDescent="0.25"/>
    <row r="1171" s="13" customFormat="1" ht="18" customHeight="1" x14ac:dyDescent="0.25"/>
    <row r="1172" s="13" customFormat="1" ht="18" customHeight="1" x14ac:dyDescent="0.25"/>
    <row r="1173" s="13" customFormat="1" ht="18" customHeight="1" x14ac:dyDescent="0.25"/>
    <row r="1174" s="13" customFormat="1" ht="18" customHeight="1" x14ac:dyDescent="0.25"/>
    <row r="1175" s="13" customFormat="1" ht="18" customHeight="1" x14ac:dyDescent="0.25"/>
    <row r="1176" s="13" customFormat="1" ht="18" customHeight="1" x14ac:dyDescent="0.25"/>
    <row r="1177" s="13" customFormat="1" ht="18" customHeight="1" x14ac:dyDescent="0.25"/>
    <row r="1178" s="13" customFormat="1" ht="18" customHeight="1" x14ac:dyDescent="0.25"/>
    <row r="1179" s="13" customFormat="1" ht="18" customHeight="1" x14ac:dyDescent="0.25"/>
    <row r="1180" s="13" customFormat="1" ht="18" customHeight="1" x14ac:dyDescent="0.25"/>
    <row r="1181" s="13" customFormat="1" ht="18" customHeight="1" x14ac:dyDescent="0.25"/>
    <row r="1182" s="13" customFormat="1" ht="18" customHeight="1" x14ac:dyDescent="0.25"/>
    <row r="1183" s="13" customFormat="1" ht="18" customHeight="1" x14ac:dyDescent="0.25"/>
    <row r="1184" s="13" customFormat="1" ht="18" customHeight="1" x14ac:dyDescent="0.25"/>
    <row r="1185" s="13" customFormat="1" ht="18" customHeight="1" x14ac:dyDescent="0.25"/>
    <row r="1186" s="13" customFormat="1" ht="18" customHeight="1" x14ac:dyDescent="0.25"/>
    <row r="1187" s="13" customFormat="1" ht="18" customHeight="1" x14ac:dyDescent="0.25"/>
    <row r="1188" s="13" customFormat="1" ht="18" customHeight="1" x14ac:dyDescent="0.25"/>
    <row r="1189" s="13" customFormat="1" ht="18" customHeight="1" x14ac:dyDescent="0.25"/>
    <row r="1190" s="13" customFormat="1" ht="18" customHeight="1" x14ac:dyDescent="0.25"/>
    <row r="1191" s="13" customFormat="1" ht="18" customHeight="1" x14ac:dyDescent="0.25"/>
    <row r="1192" s="13" customFormat="1" ht="18" customHeight="1" x14ac:dyDescent="0.25"/>
    <row r="1193" s="13" customFormat="1" ht="18" customHeight="1" x14ac:dyDescent="0.25"/>
    <row r="1194" s="13" customFormat="1" ht="18" customHeight="1" x14ac:dyDescent="0.25"/>
    <row r="1195" s="13" customFormat="1" ht="18" customHeight="1" x14ac:dyDescent="0.25"/>
    <row r="1196" s="13" customFormat="1" ht="18" customHeight="1" x14ac:dyDescent="0.25"/>
    <row r="1197" s="13" customFormat="1" ht="18" customHeight="1" x14ac:dyDescent="0.25"/>
    <row r="1198" s="13" customFormat="1" ht="18" customHeight="1" x14ac:dyDescent="0.25"/>
    <row r="1199" s="13" customFormat="1" ht="18" customHeight="1" x14ac:dyDescent="0.25"/>
    <row r="1200" s="13" customFormat="1" ht="18" customHeight="1" x14ac:dyDescent="0.25"/>
    <row r="1201" s="13" customFormat="1" ht="18" customHeight="1" x14ac:dyDescent="0.25"/>
    <row r="1202" s="13" customFormat="1" ht="18" customHeight="1" x14ac:dyDescent="0.25"/>
    <row r="1203" s="13" customFormat="1" ht="18" customHeight="1" x14ac:dyDescent="0.25"/>
    <row r="1204" s="13" customFormat="1" ht="18" customHeight="1" x14ac:dyDescent="0.25"/>
    <row r="1205" s="13" customFormat="1" ht="18" customHeight="1" x14ac:dyDescent="0.25"/>
    <row r="1206" s="13" customFormat="1" ht="18" customHeight="1" x14ac:dyDescent="0.25"/>
    <row r="1207" s="13" customFormat="1" ht="18" customHeight="1" x14ac:dyDescent="0.25"/>
    <row r="1208" s="13" customFormat="1" ht="18" customHeight="1" x14ac:dyDescent="0.25"/>
    <row r="1209" s="13" customFormat="1" ht="18" customHeight="1" x14ac:dyDescent="0.25"/>
    <row r="1210" s="13" customFormat="1" ht="18" customHeight="1" x14ac:dyDescent="0.25"/>
    <row r="1211" s="13" customFormat="1" ht="18" customHeight="1" x14ac:dyDescent="0.25"/>
    <row r="1212" s="13" customFormat="1" ht="18" customHeight="1" x14ac:dyDescent="0.25"/>
    <row r="1213" s="13" customFormat="1" ht="18" customHeight="1" x14ac:dyDescent="0.25"/>
    <row r="1214" s="13" customFormat="1" ht="18" customHeight="1" x14ac:dyDescent="0.25"/>
    <row r="1215" s="13" customFormat="1" ht="18" customHeight="1" x14ac:dyDescent="0.25"/>
    <row r="1216" s="13" customFormat="1" ht="18" customHeight="1" x14ac:dyDescent="0.25"/>
    <row r="1217" s="13" customFormat="1" ht="18" customHeight="1" x14ac:dyDescent="0.25"/>
    <row r="1218" s="13" customFormat="1" ht="18" customHeight="1" x14ac:dyDescent="0.25"/>
    <row r="1219" s="13" customFormat="1" ht="18" customHeight="1" x14ac:dyDescent="0.25"/>
    <row r="1220" s="13" customFormat="1" ht="18" customHeight="1" x14ac:dyDescent="0.25"/>
    <row r="1221" s="13" customFormat="1" ht="18" customHeight="1" x14ac:dyDescent="0.25"/>
    <row r="1222" s="13" customFormat="1" ht="18" customHeight="1" x14ac:dyDescent="0.25"/>
    <row r="1223" s="13" customFormat="1" ht="18" customHeight="1" x14ac:dyDescent="0.25"/>
    <row r="1224" s="13" customFormat="1" ht="18" customHeight="1" x14ac:dyDescent="0.25"/>
    <row r="1225" s="13" customFormat="1" ht="18" customHeight="1" x14ac:dyDescent="0.25"/>
    <row r="1226" s="13" customFormat="1" ht="18" customHeight="1" x14ac:dyDescent="0.25"/>
    <row r="1227" s="13" customFormat="1" ht="18" customHeight="1" x14ac:dyDescent="0.25"/>
    <row r="1228" s="13" customFormat="1" ht="18" customHeight="1" x14ac:dyDescent="0.25"/>
    <row r="1229" s="13" customFormat="1" ht="18" customHeight="1" x14ac:dyDescent="0.25"/>
    <row r="1230" s="13" customFormat="1" ht="18" customHeight="1" x14ac:dyDescent="0.25"/>
    <row r="1231" s="13" customFormat="1" ht="18" customHeight="1" x14ac:dyDescent="0.25"/>
    <row r="1232" s="13" customFormat="1" ht="18" customHeight="1" x14ac:dyDescent="0.25"/>
    <row r="1233" s="13" customFormat="1" ht="18" customHeight="1" x14ac:dyDescent="0.25"/>
    <row r="1234" s="13" customFormat="1" ht="18" customHeight="1" x14ac:dyDescent="0.25"/>
    <row r="1235" s="13" customFormat="1" ht="18" customHeight="1" x14ac:dyDescent="0.25"/>
    <row r="1236" s="13" customFormat="1" ht="18" customHeight="1" x14ac:dyDescent="0.25"/>
    <row r="1237" s="13" customFormat="1" ht="18" customHeight="1" x14ac:dyDescent="0.25"/>
    <row r="1238" s="13" customFormat="1" ht="18" customHeight="1" x14ac:dyDescent="0.25"/>
    <row r="1239" s="13" customFormat="1" ht="18" customHeight="1" x14ac:dyDescent="0.25"/>
    <row r="1240" s="13" customFormat="1" ht="18" customHeight="1" x14ac:dyDescent="0.25"/>
    <row r="1241" s="13" customFormat="1" ht="18" customHeight="1" x14ac:dyDescent="0.25"/>
    <row r="1242" s="13" customFormat="1" ht="18" customHeight="1" x14ac:dyDescent="0.25"/>
    <row r="1243" s="13" customFormat="1" ht="18" customHeight="1" x14ac:dyDescent="0.25"/>
    <row r="1244" s="13" customFormat="1" ht="18" customHeight="1" x14ac:dyDescent="0.25"/>
    <row r="1245" s="13" customFormat="1" ht="18" customHeight="1" x14ac:dyDescent="0.25"/>
    <row r="1246" s="13" customFormat="1" ht="18" customHeight="1" x14ac:dyDescent="0.25"/>
    <row r="1247" s="13" customFormat="1" ht="18" customHeight="1" x14ac:dyDescent="0.25"/>
    <row r="1248" s="13" customFormat="1" ht="18" customHeight="1" x14ac:dyDescent="0.25"/>
    <row r="1249" s="13" customFormat="1" ht="18" customHeight="1" x14ac:dyDescent="0.25"/>
    <row r="1250" s="13" customFormat="1" ht="18" customHeight="1" x14ac:dyDescent="0.25"/>
    <row r="1251" s="13" customFormat="1" ht="18" customHeight="1" x14ac:dyDescent="0.25"/>
    <row r="1252" s="13" customFormat="1" ht="18" customHeight="1" x14ac:dyDescent="0.25"/>
    <row r="1253" s="13" customFormat="1" ht="18" customHeight="1" x14ac:dyDescent="0.25"/>
    <row r="1254" s="13" customFormat="1" ht="18" customHeight="1" x14ac:dyDescent="0.25"/>
    <row r="1255" s="13" customFormat="1" ht="18" customHeight="1" x14ac:dyDescent="0.25"/>
    <row r="1256" s="13" customFormat="1" ht="18" customHeight="1" x14ac:dyDescent="0.25"/>
    <row r="1257" s="13" customFormat="1" ht="18" customHeight="1" x14ac:dyDescent="0.25"/>
    <row r="1258" s="13" customFormat="1" ht="18" customHeight="1" x14ac:dyDescent="0.25"/>
    <row r="1259" s="13" customFormat="1" ht="18" customHeight="1" x14ac:dyDescent="0.25"/>
    <row r="1260" s="13" customFormat="1" ht="18" customHeight="1" x14ac:dyDescent="0.25"/>
    <row r="1261" s="13" customFormat="1" ht="18" customHeight="1" x14ac:dyDescent="0.25"/>
    <row r="1262" s="13" customFormat="1" ht="18" customHeight="1" x14ac:dyDescent="0.25"/>
    <row r="1263" s="13" customFormat="1" ht="18" customHeight="1" x14ac:dyDescent="0.25"/>
    <row r="1264" s="13" customFormat="1" ht="18" customHeight="1" x14ac:dyDescent="0.25"/>
    <row r="1265" s="13" customFormat="1" ht="18" customHeight="1" x14ac:dyDescent="0.25"/>
    <row r="1266" s="13" customFormat="1" ht="18" customHeight="1" x14ac:dyDescent="0.25"/>
    <row r="1267" s="13" customFormat="1" ht="18" customHeight="1" x14ac:dyDescent="0.25"/>
    <row r="1268" s="13" customFormat="1" ht="18" customHeight="1" x14ac:dyDescent="0.25"/>
    <row r="1269" s="13" customFormat="1" ht="18" customHeight="1" x14ac:dyDescent="0.25"/>
    <row r="1270" s="13" customFormat="1" ht="18" customHeight="1" x14ac:dyDescent="0.25"/>
    <row r="1271" s="13" customFormat="1" ht="18" customHeight="1" x14ac:dyDescent="0.25"/>
    <row r="1272" s="13" customFormat="1" ht="18" customHeight="1" x14ac:dyDescent="0.25"/>
    <row r="1273" s="13" customFormat="1" ht="18" customHeight="1" x14ac:dyDescent="0.25"/>
    <row r="1274" s="13" customFormat="1" ht="18" customHeight="1" x14ac:dyDescent="0.25"/>
    <row r="1275" s="13" customFormat="1" ht="18" customHeight="1" x14ac:dyDescent="0.25"/>
    <row r="1276" s="13" customFormat="1" ht="18" customHeight="1" x14ac:dyDescent="0.25"/>
    <row r="1277" s="13" customFormat="1" ht="18" customHeight="1" x14ac:dyDescent="0.25"/>
    <row r="1278" s="13" customFormat="1" ht="18" customHeight="1" x14ac:dyDescent="0.25"/>
    <row r="1279" s="13" customFormat="1" ht="18" customHeight="1" x14ac:dyDescent="0.25"/>
    <row r="1280" s="13" customFormat="1" ht="18" customHeight="1" x14ac:dyDescent="0.25"/>
    <row r="1281" s="13" customFormat="1" ht="18" customHeight="1" x14ac:dyDescent="0.25"/>
    <row r="1282" s="13" customFormat="1" ht="18" customHeight="1" x14ac:dyDescent="0.25"/>
    <row r="1283" s="13" customFormat="1" ht="18" customHeight="1" x14ac:dyDescent="0.25"/>
    <row r="1284" s="13" customFormat="1" ht="18" customHeight="1" x14ac:dyDescent="0.25"/>
    <row r="1285" s="13" customFormat="1" ht="18" customHeight="1" x14ac:dyDescent="0.25"/>
    <row r="1286" s="13" customFormat="1" ht="18" customHeight="1" x14ac:dyDescent="0.25"/>
    <row r="1287" s="13" customFormat="1" ht="18" customHeight="1" x14ac:dyDescent="0.25"/>
    <row r="1288" s="13" customFormat="1" ht="18" customHeight="1" x14ac:dyDescent="0.25"/>
    <row r="1289" s="13" customFormat="1" ht="18" customHeight="1" x14ac:dyDescent="0.25"/>
    <row r="1290" s="13" customFormat="1" ht="18" customHeight="1" x14ac:dyDescent="0.25"/>
    <row r="1291" s="13" customFormat="1" ht="18" customHeight="1" x14ac:dyDescent="0.25"/>
    <row r="1292" s="13" customFormat="1" ht="18" customHeight="1" x14ac:dyDescent="0.25"/>
    <row r="1293" s="13" customFormat="1" ht="18" customHeight="1" x14ac:dyDescent="0.25"/>
    <row r="1294" s="13" customFormat="1" ht="18" customHeight="1" x14ac:dyDescent="0.25"/>
    <row r="1295" s="13" customFormat="1" ht="18" customHeight="1" x14ac:dyDescent="0.25"/>
    <row r="1296" s="13" customFormat="1" ht="18" customHeight="1" x14ac:dyDescent="0.25"/>
    <row r="1297" s="13" customFormat="1" ht="18" customHeight="1" x14ac:dyDescent="0.25"/>
    <row r="1298" s="13" customFormat="1" ht="18" customHeight="1" x14ac:dyDescent="0.25"/>
    <row r="1299" s="13" customFormat="1" ht="18" customHeight="1" x14ac:dyDescent="0.25"/>
    <row r="1300" s="13" customFormat="1" ht="18" customHeight="1" x14ac:dyDescent="0.25"/>
    <row r="1301" s="13" customFormat="1" ht="18" customHeight="1" x14ac:dyDescent="0.25"/>
    <row r="1302" s="13" customFormat="1" ht="18" customHeight="1" x14ac:dyDescent="0.25"/>
    <row r="1303" s="13" customFormat="1" ht="18" customHeight="1" x14ac:dyDescent="0.25"/>
    <row r="1304" s="13" customFormat="1" ht="18" customHeight="1" x14ac:dyDescent="0.25"/>
    <row r="1305" s="13" customFormat="1" ht="18" customHeight="1" x14ac:dyDescent="0.25"/>
    <row r="1306" s="13" customFormat="1" ht="18" customHeight="1" x14ac:dyDescent="0.25"/>
    <row r="1307" s="13" customFormat="1" ht="18" customHeight="1" x14ac:dyDescent="0.25"/>
    <row r="1308" s="13" customFormat="1" ht="18" customHeight="1" x14ac:dyDescent="0.25"/>
    <row r="1309" s="13" customFormat="1" ht="18" customHeight="1" x14ac:dyDescent="0.25"/>
    <row r="1310" s="13" customFormat="1" ht="18" customHeight="1" x14ac:dyDescent="0.25"/>
    <row r="1311" s="13" customFormat="1" ht="18" customHeight="1" x14ac:dyDescent="0.25"/>
    <row r="1312" s="13" customFormat="1" ht="18" customHeight="1" x14ac:dyDescent="0.25"/>
    <row r="1313" s="13" customFormat="1" ht="18" customHeight="1" x14ac:dyDescent="0.25"/>
    <row r="1314" s="13" customFormat="1" ht="18" customHeight="1" x14ac:dyDescent="0.25"/>
    <row r="1315" s="13" customFormat="1" ht="18" customHeight="1" x14ac:dyDescent="0.25"/>
    <row r="1316" s="13" customFormat="1" ht="18" customHeight="1" x14ac:dyDescent="0.25"/>
    <row r="1317" s="13" customFormat="1" ht="18" customHeight="1" x14ac:dyDescent="0.25"/>
    <row r="1318" s="13" customFormat="1" ht="18" customHeight="1" x14ac:dyDescent="0.25"/>
    <row r="1319" s="13" customFormat="1" ht="18" customHeight="1" x14ac:dyDescent="0.25"/>
    <row r="1320" s="13" customFormat="1" ht="18" customHeight="1" x14ac:dyDescent="0.25"/>
    <row r="1321" s="13" customFormat="1" ht="18" customHeight="1" x14ac:dyDescent="0.25"/>
    <row r="1322" s="13" customFormat="1" ht="18" customHeight="1" x14ac:dyDescent="0.25"/>
    <row r="1323" s="13" customFormat="1" ht="18" customHeight="1" x14ac:dyDescent="0.25"/>
    <row r="1324" s="13" customFormat="1" ht="18" customHeight="1" x14ac:dyDescent="0.25"/>
    <row r="1325" s="13" customFormat="1" ht="18" customHeight="1" x14ac:dyDescent="0.25"/>
    <row r="1326" s="13" customFormat="1" ht="18" customHeight="1" x14ac:dyDescent="0.25"/>
    <row r="1327" s="13" customFormat="1" ht="18" customHeight="1" x14ac:dyDescent="0.25"/>
    <row r="1328" s="13" customFormat="1" ht="18" customHeight="1" x14ac:dyDescent="0.25"/>
    <row r="1329" s="13" customFormat="1" ht="18" customHeight="1" x14ac:dyDescent="0.25"/>
    <row r="1330" s="13" customFormat="1" ht="18" customHeight="1" x14ac:dyDescent="0.25"/>
    <row r="1331" s="13" customFormat="1" ht="18" customHeight="1" x14ac:dyDescent="0.25"/>
    <row r="1332" s="13" customFormat="1" ht="18" customHeight="1" x14ac:dyDescent="0.25"/>
    <row r="1333" s="13" customFormat="1" ht="18" customHeight="1" x14ac:dyDescent="0.25"/>
    <row r="1334" s="13" customFormat="1" ht="18" customHeight="1" x14ac:dyDescent="0.25"/>
    <row r="1335" s="13" customFormat="1" ht="18" customHeight="1" x14ac:dyDescent="0.25"/>
    <row r="1336" s="13" customFormat="1" ht="18" customHeight="1" x14ac:dyDescent="0.25"/>
    <row r="1337" s="13" customFormat="1" ht="18" customHeight="1" x14ac:dyDescent="0.25"/>
    <row r="1338" s="13" customFormat="1" ht="18" customHeight="1" x14ac:dyDescent="0.25"/>
    <row r="1339" s="13" customFormat="1" ht="18" customHeight="1" x14ac:dyDescent="0.25"/>
    <row r="1340" s="13" customFormat="1" ht="18" customHeight="1" x14ac:dyDescent="0.25"/>
    <row r="1341" s="13" customFormat="1" ht="18" customHeight="1" x14ac:dyDescent="0.25"/>
    <row r="1342" s="13" customFormat="1" ht="18" customHeight="1" x14ac:dyDescent="0.25"/>
    <row r="1343" s="13" customFormat="1" ht="18" customHeight="1" x14ac:dyDescent="0.25"/>
    <row r="1344" s="13" customFormat="1" ht="18" customHeight="1" x14ac:dyDescent="0.25"/>
    <row r="1345" s="13" customFormat="1" ht="18" customHeight="1" x14ac:dyDescent="0.25"/>
    <row r="1346" s="13" customFormat="1" ht="18" customHeight="1" x14ac:dyDescent="0.25"/>
    <row r="1347" s="13" customFormat="1" ht="18" customHeight="1" x14ac:dyDescent="0.25"/>
    <row r="1348" s="13" customFormat="1" ht="18" customHeight="1" x14ac:dyDescent="0.25"/>
    <row r="1349" s="13" customFormat="1" ht="18" customHeight="1" x14ac:dyDescent="0.25"/>
    <row r="1350" s="13" customFormat="1" ht="18" customHeight="1" x14ac:dyDescent="0.25"/>
    <row r="1351" s="13" customFormat="1" ht="18" customHeight="1" x14ac:dyDescent="0.25"/>
    <row r="1352" s="13" customFormat="1" ht="18" customHeight="1" x14ac:dyDescent="0.25"/>
    <row r="1353" s="13" customFormat="1" ht="18" customHeight="1" x14ac:dyDescent="0.25"/>
    <row r="1354" s="13" customFormat="1" ht="18" customHeight="1" x14ac:dyDescent="0.25"/>
    <row r="1355" s="13" customFormat="1" ht="18" customHeight="1" x14ac:dyDescent="0.25"/>
    <row r="1356" s="13" customFormat="1" ht="18" customHeight="1" x14ac:dyDescent="0.25"/>
    <row r="1357" s="13" customFormat="1" ht="18" customHeight="1" x14ac:dyDescent="0.25"/>
    <row r="1358" s="13" customFormat="1" ht="18" customHeight="1" x14ac:dyDescent="0.25"/>
    <row r="1359" s="13" customFormat="1" ht="18" customHeight="1" x14ac:dyDescent="0.25"/>
    <row r="1360" s="13" customFormat="1" ht="18" customHeight="1" x14ac:dyDescent="0.25"/>
    <row r="1361" s="13" customFormat="1" ht="18" customHeight="1" x14ac:dyDescent="0.25"/>
    <row r="1362" s="13" customFormat="1" ht="18" customHeight="1" x14ac:dyDescent="0.25"/>
    <row r="1363" s="13" customFormat="1" ht="18" customHeight="1" x14ac:dyDescent="0.25"/>
    <row r="1364" s="13" customFormat="1" ht="18" customHeight="1" x14ac:dyDescent="0.25"/>
    <row r="1365" s="13" customFormat="1" ht="18" customHeight="1" x14ac:dyDescent="0.25"/>
    <row r="1366" s="13" customFormat="1" ht="18" customHeight="1" x14ac:dyDescent="0.25"/>
    <row r="1367" s="13" customFormat="1" ht="18" customHeight="1" x14ac:dyDescent="0.25"/>
    <row r="1368" s="13" customFormat="1" ht="18" customHeight="1" x14ac:dyDescent="0.25"/>
    <row r="1369" s="13" customFormat="1" ht="18" customHeight="1" x14ac:dyDescent="0.25"/>
    <row r="1370" s="13" customFormat="1" ht="18" customHeight="1" x14ac:dyDescent="0.25"/>
    <row r="1371" s="13" customFormat="1" ht="18" customHeight="1" x14ac:dyDescent="0.25"/>
    <row r="1372" s="13" customFormat="1" ht="18" customHeight="1" x14ac:dyDescent="0.25"/>
    <row r="1373" s="13" customFormat="1" ht="18" customHeight="1" x14ac:dyDescent="0.25"/>
    <row r="1374" s="13" customFormat="1" ht="18" customHeight="1" x14ac:dyDescent="0.25"/>
    <row r="1375" s="13" customFormat="1" ht="18" customHeight="1" x14ac:dyDescent="0.25"/>
    <row r="1376" s="13" customFormat="1" ht="18" customHeight="1" x14ac:dyDescent="0.25"/>
    <row r="1377" s="13" customFormat="1" ht="18" customHeight="1" x14ac:dyDescent="0.25"/>
    <row r="1378" s="13" customFormat="1" ht="18" customHeight="1" x14ac:dyDescent="0.25"/>
    <row r="1379" s="13" customFormat="1" ht="18" customHeight="1" x14ac:dyDescent="0.25"/>
    <row r="1380" s="13" customFormat="1" ht="18" customHeight="1" x14ac:dyDescent="0.25"/>
    <row r="1381" s="13" customFormat="1" ht="18" customHeight="1" x14ac:dyDescent="0.25"/>
    <row r="1382" s="13" customFormat="1" ht="18" customHeight="1" x14ac:dyDescent="0.25"/>
    <row r="1383" s="13" customFormat="1" ht="18" customHeight="1" x14ac:dyDescent="0.25"/>
    <row r="1384" s="13" customFormat="1" ht="18" customHeight="1" x14ac:dyDescent="0.25"/>
    <row r="1385" s="13" customFormat="1" ht="18" customHeight="1" x14ac:dyDescent="0.25"/>
    <row r="1386" s="13" customFormat="1" ht="18" customHeight="1" x14ac:dyDescent="0.25"/>
    <row r="1387" s="13" customFormat="1" ht="18" customHeight="1" x14ac:dyDescent="0.25"/>
    <row r="1388" s="13" customFormat="1" ht="18" customHeight="1" x14ac:dyDescent="0.25"/>
    <row r="1389" s="13" customFormat="1" ht="18" customHeight="1" x14ac:dyDescent="0.25"/>
    <row r="1390" s="13" customFormat="1" ht="18" customHeight="1" x14ac:dyDescent="0.25"/>
    <row r="1391" s="13" customFormat="1" ht="18" customHeight="1" x14ac:dyDescent="0.25"/>
    <row r="1392" s="13" customFormat="1" ht="18" customHeight="1" x14ac:dyDescent="0.25"/>
    <row r="1393" s="13" customFormat="1" ht="18" customHeight="1" x14ac:dyDescent="0.25"/>
    <row r="1394" s="13" customFormat="1" ht="18" customHeight="1" x14ac:dyDescent="0.25"/>
    <row r="1395" s="13" customFormat="1" ht="18" customHeight="1" x14ac:dyDescent="0.25"/>
    <row r="1396" s="13" customFormat="1" ht="18" customHeight="1" x14ac:dyDescent="0.25"/>
    <row r="1397" s="13" customFormat="1" ht="18" customHeight="1" x14ac:dyDescent="0.25"/>
    <row r="1398" s="13" customFormat="1" ht="18" customHeight="1" x14ac:dyDescent="0.25"/>
    <row r="1399" s="13" customFormat="1" ht="18" customHeight="1" x14ac:dyDescent="0.25"/>
    <row r="1400" s="13" customFormat="1" ht="18" customHeight="1" x14ac:dyDescent="0.25"/>
    <row r="1401" s="13" customFormat="1" ht="18" customHeight="1" x14ac:dyDescent="0.25"/>
    <row r="1402" s="13" customFormat="1" ht="18" customHeight="1" x14ac:dyDescent="0.25"/>
    <row r="1403" s="13" customFormat="1" ht="18" customHeight="1" x14ac:dyDescent="0.25"/>
    <row r="1404" s="13" customFormat="1" ht="18" customHeight="1" x14ac:dyDescent="0.25"/>
    <row r="1405" s="13" customFormat="1" ht="18" customHeight="1" x14ac:dyDescent="0.25"/>
    <row r="1406" s="13" customFormat="1" ht="18" customHeight="1" x14ac:dyDescent="0.25"/>
    <row r="1407" s="13" customFormat="1" ht="18" customHeight="1" x14ac:dyDescent="0.25"/>
    <row r="1408" s="13" customFormat="1" ht="18" customHeight="1" x14ac:dyDescent="0.25"/>
    <row r="1409" s="13" customFormat="1" ht="18" customHeight="1" x14ac:dyDescent="0.25"/>
    <row r="1410" s="13" customFormat="1" ht="18" customHeight="1" x14ac:dyDescent="0.25"/>
    <row r="1411" s="13" customFormat="1" ht="18" customHeight="1" x14ac:dyDescent="0.25"/>
    <row r="1412" s="13" customFormat="1" ht="18" customHeight="1" x14ac:dyDescent="0.25"/>
    <row r="1413" s="13" customFormat="1" ht="18" customHeight="1" x14ac:dyDescent="0.25"/>
    <row r="1414" s="13" customFormat="1" ht="18" customHeight="1" x14ac:dyDescent="0.25"/>
    <row r="1415" s="13" customFormat="1" ht="18" customHeight="1" x14ac:dyDescent="0.25"/>
    <row r="1416" s="13" customFormat="1" ht="18" customHeight="1" x14ac:dyDescent="0.25"/>
    <row r="1417" s="13" customFormat="1" ht="18" customHeight="1" x14ac:dyDescent="0.25"/>
    <row r="1418" s="13" customFormat="1" ht="18" customHeight="1" x14ac:dyDescent="0.25"/>
    <row r="1419" s="13" customFormat="1" ht="18" customHeight="1" x14ac:dyDescent="0.25"/>
    <row r="1420" s="13" customFormat="1" ht="18" customHeight="1" x14ac:dyDescent="0.25"/>
    <row r="1421" s="13" customFormat="1" ht="18" customHeight="1" x14ac:dyDescent="0.25"/>
    <row r="1422" s="13" customFormat="1" ht="18" customHeight="1" x14ac:dyDescent="0.25"/>
    <row r="1423" s="13" customFormat="1" ht="18" customHeight="1" x14ac:dyDescent="0.25"/>
    <row r="1424" s="13" customFormat="1" ht="18" customHeight="1" x14ac:dyDescent="0.25"/>
    <row r="1425" s="13" customFormat="1" ht="18" customHeight="1" x14ac:dyDescent="0.25"/>
    <row r="1426" s="13" customFormat="1" ht="18" customHeight="1" x14ac:dyDescent="0.25"/>
    <row r="1427" s="13" customFormat="1" ht="18" customHeight="1" x14ac:dyDescent="0.25"/>
    <row r="1428" s="13" customFormat="1" ht="18" customHeight="1" x14ac:dyDescent="0.25"/>
    <row r="1429" s="13" customFormat="1" ht="18" customHeight="1" x14ac:dyDescent="0.25"/>
    <row r="1430" s="13" customFormat="1" ht="18" customHeight="1" x14ac:dyDescent="0.25"/>
    <row r="1431" s="13" customFormat="1" ht="18" customHeight="1" x14ac:dyDescent="0.25"/>
    <row r="1432" s="13" customFormat="1" ht="18" customHeight="1" x14ac:dyDescent="0.25"/>
    <row r="1433" s="13" customFormat="1" ht="18" customHeight="1" x14ac:dyDescent="0.25"/>
    <row r="1434" s="13" customFormat="1" ht="18" customHeight="1" x14ac:dyDescent="0.25"/>
    <row r="1435" s="13" customFormat="1" ht="18" customHeight="1" x14ac:dyDescent="0.25"/>
    <row r="1436" s="13" customFormat="1" ht="18" customHeight="1" x14ac:dyDescent="0.25"/>
    <row r="1437" s="13" customFormat="1" ht="18" customHeight="1" x14ac:dyDescent="0.25"/>
    <row r="1438" s="13" customFormat="1" ht="18" customHeight="1" x14ac:dyDescent="0.25"/>
    <row r="1439" s="13" customFormat="1" ht="18" customHeight="1" x14ac:dyDescent="0.25"/>
    <row r="1440" s="13" customFormat="1" ht="18" customHeight="1" x14ac:dyDescent="0.25"/>
    <row r="1441" s="13" customFormat="1" ht="18" customHeight="1" x14ac:dyDescent="0.25"/>
    <row r="1442" s="13" customFormat="1" ht="18" customHeight="1" x14ac:dyDescent="0.25"/>
    <row r="1443" s="13" customFormat="1" ht="18" customHeight="1" x14ac:dyDescent="0.25"/>
    <row r="1444" s="13" customFormat="1" ht="18" customHeight="1" x14ac:dyDescent="0.25"/>
    <row r="1445" s="13" customFormat="1" ht="18" customHeight="1" x14ac:dyDescent="0.25"/>
    <row r="1446" s="13" customFormat="1" ht="18" customHeight="1" x14ac:dyDescent="0.25"/>
    <row r="1447" s="13" customFormat="1" ht="18" customHeight="1" x14ac:dyDescent="0.25"/>
    <row r="1448" s="13" customFormat="1" ht="18" customHeight="1" x14ac:dyDescent="0.25"/>
    <row r="1449" s="13" customFormat="1" ht="18" customHeight="1" x14ac:dyDescent="0.25"/>
    <row r="1450" s="13" customFormat="1" ht="18" customHeight="1" x14ac:dyDescent="0.25"/>
    <row r="1451" s="13" customFormat="1" ht="18" customHeight="1" x14ac:dyDescent="0.25"/>
    <row r="1452" s="13" customFormat="1" ht="18" customHeight="1" x14ac:dyDescent="0.25"/>
    <row r="1453" s="13" customFormat="1" ht="18" customHeight="1" x14ac:dyDescent="0.25"/>
    <row r="1454" s="13" customFormat="1" ht="18" customHeight="1" x14ac:dyDescent="0.25"/>
    <row r="1455" s="13" customFormat="1" ht="18" customHeight="1" x14ac:dyDescent="0.25"/>
    <row r="1456" s="13" customFormat="1" ht="18" customHeight="1" x14ac:dyDescent="0.25"/>
    <row r="1457" s="13" customFormat="1" ht="18" customHeight="1" x14ac:dyDescent="0.25"/>
    <row r="1458" s="13" customFormat="1" ht="18" customHeight="1" x14ac:dyDescent="0.25"/>
    <row r="1459" s="13" customFormat="1" ht="18" customHeight="1" x14ac:dyDescent="0.25"/>
    <row r="1460" s="13" customFormat="1" ht="18" customHeight="1" x14ac:dyDescent="0.25"/>
    <row r="1461" s="13" customFormat="1" ht="18" customHeight="1" x14ac:dyDescent="0.25"/>
    <row r="1462" s="13" customFormat="1" ht="18" customHeight="1" x14ac:dyDescent="0.25"/>
    <row r="1463" s="13" customFormat="1" ht="18" customHeight="1" x14ac:dyDescent="0.25"/>
    <row r="1464" s="13" customFormat="1" ht="18" customHeight="1" x14ac:dyDescent="0.25"/>
    <row r="1465" s="13" customFormat="1" ht="18" customHeight="1" x14ac:dyDescent="0.25"/>
    <row r="1466" s="13" customFormat="1" ht="18" customHeight="1" x14ac:dyDescent="0.25"/>
    <row r="1467" s="13" customFormat="1" ht="18" customHeight="1" x14ac:dyDescent="0.25"/>
    <row r="1468" s="13" customFormat="1" ht="18" customHeight="1" x14ac:dyDescent="0.25"/>
    <row r="1469" s="13" customFormat="1" ht="18" customHeight="1" x14ac:dyDescent="0.25"/>
    <row r="1470" s="13" customFormat="1" ht="18" customHeight="1" x14ac:dyDescent="0.25"/>
    <row r="1471" s="13" customFormat="1" ht="18" customHeight="1" x14ac:dyDescent="0.25"/>
    <row r="1472" s="13" customFormat="1" ht="18" customHeight="1" x14ac:dyDescent="0.25"/>
    <row r="1473" s="13" customFormat="1" ht="18" customHeight="1" x14ac:dyDescent="0.25"/>
    <row r="1474" s="13" customFormat="1" ht="18" customHeight="1" x14ac:dyDescent="0.25"/>
    <row r="1475" s="13" customFormat="1" ht="18" customHeight="1" x14ac:dyDescent="0.25"/>
    <row r="1476" s="13" customFormat="1" ht="18" customHeight="1" x14ac:dyDescent="0.25"/>
    <row r="1477" s="13" customFormat="1" ht="18" customHeight="1" x14ac:dyDescent="0.25"/>
    <row r="1478" s="13" customFormat="1" ht="18" customHeight="1" x14ac:dyDescent="0.25"/>
    <row r="1479" s="13" customFormat="1" ht="18" customHeight="1" x14ac:dyDescent="0.25"/>
    <row r="1480" s="13" customFormat="1" ht="18" customHeight="1" x14ac:dyDescent="0.25"/>
    <row r="1481" s="13" customFormat="1" ht="18" customHeight="1" x14ac:dyDescent="0.25"/>
    <row r="1482" s="13" customFormat="1" ht="18" customHeight="1" x14ac:dyDescent="0.25"/>
    <row r="1483" s="13" customFormat="1" ht="18" customHeight="1" x14ac:dyDescent="0.25"/>
    <row r="1484" s="13" customFormat="1" ht="18" customHeight="1" x14ac:dyDescent="0.25"/>
    <row r="1485" s="13" customFormat="1" ht="18" customHeight="1" x14ac:dyDescent="0.25"/>
    <row r="1486" s="13" customFormat="1" ht="18" customHeight="1" x14ac:dyDescent="0.25"/>
    <row r="1487" s="13" customFormat="1" ht="18" customHeight="1" x14ac:dyDescent="0.25"/>
    <row r="1488" s="13" customFormat="1" ht="18" customHeight="1" x14ac:dyDescent="0.25"/>
    <row r="1489" s="13" customFormat="1" ht="18" customHeight="1" x14ac:dyDescent="0.25"/>
    <row r="1490" s="13" customFormat="1" ht="18" customHeight="1" x14ac:dyDescent="0.25"/>
    <row r="1491" s="13" customFormat="1" ht="18" customHeight="1" x14ac:dyDescent="0.25"/>
    <row r="1492" s="13" customFormat="1" ht="18" customHeight="1" x14ac:dyDescent="0.25"/>
    <row r="1493" s="13" customFormat="1" ht="18" customHeight="1" x14ac:dyDescent="0.25"/>
    <row r="1494" s="13" customFormat="1" ht="18" customHeight="1" x14ac:dyDescent="0.25"/>
    <row r="1495" s="13" customFormat="1" ht="18" customHeight="1" x14ac:dyDescent="0.25"/>
    <row r="1496" s="13" customFormat="1" ht="18" customHeight="1" x14ac:dyDescent="0.25"/>
    <row r="1497" s="13" customFormat="1" ht="18" customHeight="1" x14ac:dyDescent="0.25"/>
    <row r="1498" s="13" customFormat="1" ht="18" customHeight="1" x14ac:dyDescent="0.25"/>
    <row r="1499" s="13" customFormat="1" ht="18" customHeight="1" x14ac:dyDescent="0.25"/>
    <row r="1500" s="13" customFormat="1" ht="18" customHeight="1" x14ac:dyDescent="0.25"/>
    <row r="1501" s="13" customFormat="1" ht="18" customHeight="1" x14ac:dyDescent="0.25"/>
    <row r="1502" s="13" customFormat="1" ht="18" customHeight="1" x14ac:dyDescent="0.25"/>
    <row r="1503" s="13" customFormat="1" ht="18" customHeight="1" x14ac:dyDescent="0.25"/>
    <row r="1504" s="13" customFormat="1" ht="18" customHeight="1" x14ac:dyDescent="0.25"/>
    <row r="1505" s="13" customFormat="1" ht="18" customHeight="1" x14ac:dyDescent="0.25"/>
    <row r="1506" s="13" customFormat="1" ht="18" customHeight="1" x14ac:dyDescent="0.25"/>
    <row r="1507" s="13" customFormat="1" ht="18" customHeight="1" x14ac:dyDescent="0.25"/>
    <row r="1508" s="13" customFormat="1" ht="18" customHeight="1" x14ac:dyDescent="0.25"/>
    <row r="1509" s="13" customFormat="1" ht="18" customHeight="1" x14ac:dyDescent="0.25"/>
    <row r="1510" s="13" customFormat="1" ht="18" customHeight="1" x14ac:dyDescent="0.25"/>
    <row r="1511" s="13" customFormat="1" ht="18" customHeight="1" x14ac:dyDescent="0.25"/>
    <row r="1512" s="13" customFormat="1" ht="18" customHeight="1" x14ac:dyDescent="0.25"/>
    <row r="1513" s="13" customFormat="1" ht="18" customHeight="1" x14ac:dyDescent="0.25"/>
    <row r="1514" s="13" customFormat="1" ht="18" customHeight="1" x14ac:dyDescent="0.25"/>
    <row r="1515" s="13" customFormat="1" ht="18" customHeight="1" x14ac:dyDescent="0.25"/>
    <row r="1516" s="13" customFormat="1" ht="18" customHeight="1" x14ac:dyDescent="0.25"/>
    <row r="1517" s="13" customFormat="1" ht="18" customHeight="1" x14ac:dyDescent="0.25"/>
    <row r="1518" s="13" customFormat="1" ht="18" customHeight="1" x14ac:dyDescent="0.25"/>
    <row r="1519" s="13" customFormat="1" ht="18" customHeight="1" x14ac:dyDescent="0.25"/>
    <row r="1520" s="13" customFormat="1" ht="18" customHeight="1" x14ac:dyDescent="0.25"/>
    <row r="1521" s="13" customFormat="1" ht="18" customHeight="1" x14ac:dyDescent="0.25"/>
    <row r="1522" s="13" customFormat="1" ht="18" customHeight="1" x14ac:dyDescent="0.25"/>
    <row r="1523" s="13" customFormat="1" ht="18" customHeight="1" x14ac:dyDescent="0.25"/>
    <row r="1524" s="13" customFormat="1" ht="18" customHeight="1" x14ac:dyDescent="0.25"/>
    <row r="1525" s="13" customFormat="1" ht="18" customHeight="1" x14ac:dyDescent="0.25"/>
    <row r="1526" s="13" customFormat="1" ht="18" customHeight="1" x14ac:dyDescent="0.25"/>
    <row r="1527" s="13" customFormat="1" ht="18" customHeight="1" x14ac:dyDescent="0.25"/>
    <row r="1528" s="13" customFormat="1" ht="18" customHeight="1" x14ac:dyDescent="0.25"/>
    <row r="1529" s="13" customFormat="1" ht="18" customHeight="1" x14ac:dyDescent="0.25"/>
    <row r="1530" s="13" customFormat="1" ht="18" customHeight="1" x14ac:dyDescent="0.25"/>
    <row r="1531" s="13" customFormat="1" ht="18" customHeight="1" x14ac:dyDescent="0.25"/>
    <row r="1532" s="13" customFormat="1" ht="18" customHeight="1" x14ac:dyDescent="0.25"/>
    <row r="1533" s="13" customFormat="1" ht="18" customHeight="1" x14ac:dyDescent="0.25"/>
    <row r="1534" s="13" customFormat="1" ht="18" customHeight="1" x14ac:dyDescent="0.25"/>
    <row r="1535" s="13" customFormat="1" ht="18" customHeight="1" x14ac:dyDescent="0.25"/>
    <row r="1536" s="13" customFormat="1" ht="18" customHeight="1" x14ac:dyDescent="0.25"/>
    <row r="1537" s="13" customFormat="1" ht="18" customHeight="1" x14ac:dyDescent="0.25"/>
    <row r="1538" s="13" customFormat="1" ht="18" customHeight="1" x14ac:dyDescent="0.25"/>
    <row r="1539" s="13" customFormat="1" ht="18" customHeight="1" x14ac:dyDescent="0.25"/>
    <row r="1540" s="13" customFormat="1" ht="18" customHeight="1" x14ac:dyDescent="0.25"/>
    <row r="1541" s="13" customFormat="1" ht="18" customHeight="1" x14ac:dyDescent="0.25"/>
    <row r="1542" s="13" customFormat="1" ht="18" customHeight="1" x14ac:dyDescent="0.25"/>
    <row r="1543" s="13" customFormat="1" ht="18" customHeight="1" x14ac:dyDescent="0.25"/>
    <row r="1544" s="13" customFormat="1" ht="18" customHeight="1" x14ac:dyDescent="0.25"/>
    <row r="1545" s="13" customFormat="1" ht="18" customHeight="1" x14ac:dyDescent="0.25"/>
    <row r="1546" s="13" customFormat="1" ht="18" customHeight="1" x14ac:dyDescent="0.25"/>
    <row r="1547" s="13" customFormat="1" ht="18" customHeight="1" x14ac:dyDescent="0.25"/>
    <row r="1548" s="13" customFormat="1" ht="18" customHeight="1" x14ac:dyDescent="0.25"/>
    <row r="1549" s="13" customFormat="1" ht="18" customHeight="1" x14ac:dyDescent="0.25"/>
    <row r="1550" s="13" customFormat="1" ht="18" customHeight="1" x14ac:dyDescent="0.25"/>
    <row r="1551" s="13" customFormat="1" ht="18" customHeight="1" x14ac:dyDescent="0.25"/>
    <row r="1552" s="13" customFormat="1" ht="18" customHeight="1" x14ac:dyDescent="0.25"/>
    <row r="1553" s="13" customFormat="1" ht="18" customHeight="1" x14ac:dyDescent="0.25"/>
    <row r="1554" s="13" customFormat="1" ht="18" customHeight="1" x14ac:dyDescent="0.25"/>
    <row r="1555" s="13" customFormat="1" ht="18" customHeight="1" x14ac:dyDescent="0.25"/>
    <row r="1556" s="13" customFormat="1" ht="18" customHeight="1" x14ac:dyDescent="0.25"/>
    <row r="1557" s="13" customFormat="1" ht="18" customHeight="1" x14ac:dyDescent="0.25"/>
    <row r="1558" s="13" customFormat="1" ht="18" customHeight="1" x14ac:dyDescent="0.25"/>
    <row r="1559" s="13" customFormat="1" ht="18" customHeight="1" x14ac:dyDescent="0.25"/>
    <row r="1560" s="13" customFormat="1" ht="18" customHeight="1" x14ac:dyDescent="0.25"/>
    <row r="1561" s="13" customFormat="1" ht="18" customHeight="1" x14ac:dyDescent="0.25"/>
    <row r="1562" s="13" customFormat="1" ht="18" customHeight="1" x14ac:dyDescent="0.25"/>
    <row r="1563" s="13" customFormat="1" ht="18" customHeight="1" x14ac:dyDescent="0.25"/>
    <row r="1564" s="13" customFormat="1" ht="18" customHeight="1" x14ac:dyDescent="0.25"/>
    <row r="1565" s="13" customFormat="1" ht="18" customHeight="1" x14ac:dyDescent="0.25"/>
    <row r="1566" s="13" customFormat="1" ht="18" customHeight="1" x14ac:dyDescent="0.25"/>
    <row r="1567" s="13" customFormat="1" ht="18" customHeight="1" x14ac:dyDescent="0.25"/>
    <row r="1568" s="13" customFormat="1" ht="18" customHeight="1" x14ac:dyDescent="0.25"/>
    <row r="1569" s="13" customFormat="1" ht="18" customHeight="1" x14ac:dyDescent="0.25"/>
    <row r="1570" s="13" customFormat="1" ht="18" customHeight="1" x14ac:dyDescent="0.25"/>
    <row r="1571" s="13" customFormat="1" ht="18" customHeight="1" x14ac:dyDescent="0.25"/>
    <row r="1572" s="13" customFormat="1" ht="18" customHeight="1" x14ac:dyDescent="0.25"/>
    <row r="1573" s="13" customFormat="1" ht="18" customHeight="1" x14ac:dyDescent="0.25"/>
    <row r="1574" s="13" customFormat="1" ht="18" customHeight="1" x14ac:dyDescent="0.25"/>
    <row r="1575" s="13" customFormat="1" ht="18" customHeight="1" x14ac:dyDescent="0.25"/>
    <row r="1576" s="13" customFormat="1" ht="18" customHeight="1" x14ac:dyDescent="0.25"/>
    <row r="1577" s="13" customFormat="1" ht="18" customHeight="1" x14ac:dyDescent="0.25"/>
    <row r="1578" s="13" customFormat="1" ht="18" customHeight="1" x14ac:dyDescent="0.25"/>
    <row r="1579" s="13" customFormat="1" ht="18" customHeight="1" x14ac:dyDescent="0.25"/>
    <row r="1580" s="13" customFormat="1" ht="18" customHeight="1" x14ac:dyDescent="0.25"/>
    <row r="1581" s="13" customFormat="1" ht="18" customHeight="1" x14ac:dyDescent="0.25"/>
    <row r="1582" s="13" customFormat="1" ht="18" customHeight="1" x14ac:dyDescent="0.25"/>
    <row r="1583" s="13" customFormat="1" ht="18" customHeight="1" x14ac:dyDescent="0.25"/>
    <row r="1584" s="13" customFormat="1" ht="18" customHeight="1" x14ac:dyDescent="0.25"/>
    <row r="1585" s="13" customFormat="1" ht="18" customHeight="1" x14ac:dyDescent="0.25"/>
    <row r="1586" s="13" customFormat="1" ht="18" customHeight="1" x14ac:dyDescent="0.25"/>
    <row r="1587" s="13" customFormat="1" ht="18" customHeight="1" x14ac:dyDescent="0.25"/>
    <row r="1588" s="13" customFormat="1" ht="18" customHeight="1" x14ac:dyDescent="0.25"/>
    <row r="1589" s="13" customFormat="1" ht="18" customHeight="1" x14ac:dyDescent="0.25"/>
    <row r="1590" s="13" customFormat="1" ht="18" customHeight="1" x14ac:dyDescent="0.25"/>
    <row r="1591" s="13" customFormat="1" ht="18" customHeight="1" x14ac:dyDescent="0.25"/>
    <row r="1592" s="13" customFormat="1" ht="18" customHeight="1" x14ac:dyDescent="0.25"/>
    <row r="1593" s="13" customFormat="1" ht="18" customHeight="1" x14ac:dyDescent="0.25"/>
    <row r="1594" s="13" customFormat="1" ht="18" customHeight="1" x14ac:dyDescent="0.25"/>
    <row r="1595" s="13" customFormat="1" ht="18" customHeight="1" x14ac:dyDescent="0.25"/>
    <row r="1596" s="13" customFormat="1" ht="18" customHeight="1" x14ac:dyDescent="0.25"/>
    <row r="1597" s="13" customFormat="1" ht="18" customHeight="1" x14ac:dyDescent="0.25"/>
    <row r="1598" s="13" customFormat="1" ht="18" customHeight="1" x14ac:dyDescent="0.25"/>
    <row r="1599" s="13" customFormat="1" ht="18" customHeight="1" x14ac:dyDescent="0.25"/>
    <row r="1600" s="13" customFormat="1" ht="18" customHeight="1" x14ac:dyDescent="0.25"/>
    <row r="1601" s="13" customFormat="1" ht="18" customHeight="1" x14ac:dyDescent="0.25"/>
    <row r="1602" s="13" customFormat="1" ht="18" customHeight="1" x14ac:dyDescent="0.25"/>
    <row r="1603" s="13" customFormat="1" ht="18" customHeight="1" x14ac:dyDescent="0.25"/>
    <row r="1604" s="13" customFormat="1" ht="18" customHeight="1" x14ac:dyDescent="0.25"/>
    <row r="1605" s="13" customFormat="1" ht="18" customHeight="1" x14ac:dyDescent="0.25"/>
    <row r="1606" s="13" customFormat="1" ht="18" customHeight="1" x14ac:dyDescent="0.25"/>
    <row r="1607" s="13" customFormat="1" ht="18" customHeight="1" x14ac:dyDescent="0.25"/>
    <row r="1608" s="13" customFormat="1" ht="18" customHeight="1" x14ac:dyDescent="0.25"/>
    <row r="1609" s="13" customFormat="1" ht="18" customHeight="1" x14ac:dyDescent="0.25"/>
    <row r="1610" s="13" customFormat="1" ht="18" customHeight="1" x14ac:dyDescent="0.25"/>
    <row r="1611" s="13" customFormat="1" ht="18" customHeight="1" x14ac:dyDescent="0.25"/>
    <row r="1612" s="13" customFormat="1" ht="18" customHeight="1" x14ac:dyDescent="0.25"/>
    <row r="1613" s="13" customFormat="1" ht="18" customHeight="1" x14ac:dyDescent="0.25"/>
    <row r="1614" s="13" customFormat="1" ht="18" customHeight="1" x14ac:dyDescent="0.25"/>
    <row r="1615" s="13" customFormat="1" ht="18" customHeight="1" x14ac:dyDescent="0.25"/>
    <row r="1616" s="13" customFormat="1" ht="18" customHeight="1" x14ac:dyDescent="0.25"/>
    <row r="1617" s="13" customFormat="1" ht="18" customHeight="1" x14ac:dyDescent="0.25"/>
    <row r="1618" s="13" customFormat="1" ht="18" customHeight="1" x14ac:dyDescent="0.25"/>
    <row r="1619" s="13" customFormat="1" ht="18" customHeight="1" x14ac:dyDescent="0.25"/>
    <row r="1620" s="13" customFormat="1" ht="18" customHeight="1" x14ac:dyDescent="0.25"/>
    <row r="1621" s="13" customFormat="1" ht="18" customHeight="1" x14ac:dyDescent="0.25"/>
    <row r="1622" s="13" customFormat="1" ht="18" customHeight="1" x14ac:dyDescent="0.25"/>
    <row r="1623" s="13" customFormat="1" ht="18" customHeight="1" x14ac:dyDescent="0.25"/>
    <row r="1624" s="13" customFormat="1" ht="18" customHeight="1" x14ac:dyDescent="0.25"/>
    <row r="1625" s="13" customFormat="1" ht="18" customHeight="1" x14ac:dyDescent="0.25"/>
    <row r="1626" s="13" customFormat="1" ht="18" customHeight="1" x14ac:dyDescent="0.25"/>
    <row r="1627" s="13" customFormat="1" ht="18" customHeight="1" x14ac:dyDescent="0.25"/>
    <row r="1628" s="13" customFormat="1" ht="18" customHeight="1" x14ac:dyDescent="0.25"/>
    <row r="1629" s="13" customFormat="1" ht="18" customHeight="1" x14ac:dyDescent="0.25"/>
    <row r="1630" s="13" customFormat="1" ht="18" customHeight="1" x14ac:dyDescent="0.25"/>
    <row r="1631" s="13" customFormat="1" ht="18" customHeight="1" x14ac:dyDescent="0.25"/>
    <row r="1632" s="13" customFormat="1" ht="18" customHeight="1" x14ac:dyDescent="0.25"/>
    <row r="1633" s="13" customFormat="1" ht="18" customHeight="1" x14ac:dyDescent="0.25"/>
    <row r="1634" s="13" customFormat="1" ht="18" customHeight="1" x14ac:dyDescent="0.25"/>
    <row r="1635" s="13" customFormat="1" ht="18" customHeight="1" x14ac:dyDescent="0.25"/>
    <row r="1636" s="13" customFormat="1" ht="18" customHeight="1" x14ac:dyDescent="0.25"/>
    <row r="1637" s="13" customFormat="1" ht="18" customHeight="1" x14ac:dyDescent="0.25"/>
    <row r="1638" s="13" customFormat="1" ht="18" customHeight="1" x14ac:dyDescent="0.25"/>
    <row r="1639" s="13" customFormat="1" ht="18" customHeight="1" x14ac:dyDescent="0.25"/>
    <row r="1640" s="13" customFormat="1" ht="18" customHeight="1" x14ac:dyDescent="0.25"/>
    <row r="1641" s="13" customFormat="1" ht="18" customHeight="1" x14ac:dyDescent="0.25"/>
    <row r="1642" s="13" customFormat="1" ht="18" customHeight="1" x14ac:dyDescent="0.25"/>
    <row r="1643" s="13" customFormat="1" ht="18" customHeight="1" x14ac:dyDescent="0.25"/>
    <row r="1644" s="13" customFormat="1" ht="18" customHeight="1" x14ac:dyDescent="0.25"/>
    <row r="1645" s="13" customFormat="1" ht="18" customHeight="1" x14ac:dyDescent="0.25"/>
    <row r="1646" s="13" customFormat="1" ht="18" customHeight="1" x14ac:dyDescent="0.25"/>
    <row r="1647" s="13" customFormat="1" ht="18" customHeight="1" x14ac:dyDescent="0.25"/>
    <row r="1648" s="13" customFormat="1" ht="18" customHeight="1" x14ac:dyDescent="0.25"/>
    <row r="1649" s="13" customFormat="1" ht="18" customHeight="1" x14ac:dyDescent="0.25"/>
    <row r="1650" s="13" customFormat="1" ht="18" customHeight="1" x14ac:dyDescent="0.25"/>
    <row r="1651" s="13" customFormat="1" ht="18" customHeight="1" x14ac:dyDescent="0.25"/>
    <row r="1652" s="13" customFormat="1" ht="18" customHeight="1" x14ac:dyDescent="0.25"/>
    <row r="1653" s="13" customFormat="1" ht="18" customHeight="1" x14ac:dyDescent="0.25"/>
    <row r="1654" s="13" customFormat="1" ht="18" customHeight="1" x14ac:dyDescent="0.25"/>
    <row r="1655" s="13" customFormat="1" ht="18" customHeight="1" x14ac:dyDescent="0.25"/>
    <row r="1656" s="13" customFormat="1" ht="18" customHeight="1" x14ac:dyDescent="0.25"/>
    <row r="1657" s="13" customFormat="1" ht="18" customHeight="1" x14ac:dyDescent="0.25"/>
    <row r="1658" s="13" customFormat="1" ht="18" customHeight="1" x14ac:dyDescent="0.25"/>
    <row r="1659" s="13" customFormat="1" ht="18" customHeight="1" x14ac:dyDescent="0.25"/>
    <row r="1660" s="13" customFormat="1" ht="18" customHeight="1" x14ac:dyDescent="0.25"/>
    <row r="1661" s="13" customFormat="1" ht="18" customHeight="1" x14ac:dyDescent="0.25"/>
    <row r="1662" s="13" customFormat="1" ht="18" customHeight="1" x14ac:dyDescent="0.25"/>
    <row r="1663" s="13" customFormat="1" ht="18" customHeight="1" x14ac:dyDescent="0.25"/>
    <row r="1664" s="13" customFormat="1" ht="18" customHeight="1" x14ac:dyDescent="0.25"/>
    <row r="1665" s="13" customFormat="1" ht="18" customHeight="1" x14ac:dyDescent="0.25"/>
    <row r="1666" s="13" customFormat="1" ht="18" customHeight="1" x14ac:dyDescent="0.25"/>
    <row r="1667" s="13" customFormat="1" ht="18" customHeight="1" x14ac:dyDescent="0.25"/>
    <row r="1668" s="13" customFormat="1" ht="18" customHeight="1" x14ac:dyDescent="0.25"/>
    <row r="1669" s="13" customFormat="1" ht="18" customHeight="1" x14ac:dyDescent="0.25"/>
    <row r="1670" s="13" customFormat="1" ht="18" customHeight="1" x14ac:dyDescent="0.25"/>
    <row r="1671" s="13" customFormat="1" ht="18" customHeight="1" x14ac:dyDescent="0.25"/>
    <row r="1672" s="13" customFormat="1" ht="18" customHeight="1" x14ac:dyDescent="0.25"/>
    <row r="1673" s="13" customFormat="1" ht="18" customHeight="1" x14ac:dyDescent="0.25"/>
    <row r="1674" s="13" customFormat="1" ht="18" customHeight="1" x14ac:dyDescent="0.25"/>
    <row r="1675" s="13" customFormat="1" ht="18" customHeight="1" x14ac:dyDescent="0.25"/>
    <row r="1676" s="13" customFormat="1" ht="18" customHeight="1" x14ac:dyDescent="0.25"/>
    <row r="1677" s="13" customFormat="1" ht="18" customHeight="1" x14ac:dyDescent="0.25"/>
    <row r="1678" s="13" customFormat="1" ht="18" customHeight="1" x14ac:dyDescent="0.25"/>
    <row r="1679" s="13" customFormat="1" ht="18" customHeight="1" x14ac:dyDescent="0.25"/>
    <row r="1680" s="13" customFormat="1" ht="18" customHeight="1" x14ac:dyDescent="0.25"/>
    <row r="1681" s="13" customFormat="1" ht="18" customHeight="1" x14ac:dyDescent="0.25"/>
    <row r="1682" s="13" customFormat="1" ht="18" customHeight="1" x14ac:dyDescent="0.25"/>
    <row r="1683" s="13" customFormat="1" ht="18" customHeight="1" x14ac:dyDescent="0.25"/>
    <row r="1684" s="13" customFormat="1" ht="18" customHeight="1" x14ac:dyDescent="0.25"/>
    <row r="1685" s="13" customFormat="1" ht="18" customHeight="1" x14ac:dyDescent="0.25"/>
    <row r="1686" s="13" customFormat="1" ht="18" customHeight="1" x14ac:dyDescent="0.25"/>
    <row r="1687" s="13" customFormat="1" ht="18" customHeight="1" x14ac:dyDescent="0.25"/>
    <row r="1688" s="13" customFormat="1" ht="18" customHeight="1" x14ac:dyDescent="0.25"/>
    <row r="1689" s="13" customFormat="1" ht="18" customHeight="1" x14ac:dyDescent="0.25"/>
    <row r="1690" s="13" customFormat="1" ht="18" customHeight="1" x14ac:dyDescent="0.25"/>
    <row r="1691" s="13" customFormat="1" ht="18" customHeight="1" x14ac:dyDescent="0.25"/>
    <row r="1692" s="13" customFormat="1" ht="18" customHeight="1" x14ac:dyDescent="0.25"/>
    <row r="1693" s="13" customFormat="1" ht="18" customHeight="1" x14ac:dyDescent="0.25"/>
    <row r="1694" s="13" customFormat="1" ht="18" customHeight="1" x14ac:dyDescent="0.25"/>
    <row r="1695" s="13" customFormat="1" ht="18" customHeight="1" x14ac:dyDescent="0.25"/>
    <row r="1696" s="13" customFormat="1" ht="18" customHeight="1" x14ac:dyDescent="0.25"/>
    <row r="1697" s="13" customFormat="1" ht="18" customHeight="1" x14ac:dyDescent="0.25"/>
    <row r="1698" s="13" customFormat="1" ht="18" customHeight="1" x14ac:dyDescent="0.25"/>
    <row r="1699" s="13" customFormat="1" ht="18" customHeight="1" x14ac:dyDescent="0.25"/>
    <row r="1700" s="13" customFormat="1" ht="18" customHeight="1" x14ac:dyDescent="0.25"/>
    <row r="1701" s="13" customFormat="1" ht="18" customHeight="1" x14ac:dyDescent="0.25"/>
    <row r="1702" s="13" customFormat="1" ht="18" customHeight="1" x14ac:dyDescent="0.25"/>
    <row r="1703" s="13" customFormat="1" ht="18" customHeight="1" x14ac:dyDescent="0.25"/>
    <row r="1704" s="13" customFormat="1" ht="18" customHeight="1" x14ac:dyDescent="0.25"/>
    <row r="1705" s="13" customFormat="1" ht="18" customHeight="1" x14ac:dyDescent="0.25"/>
    <row r="1706" s="13" customFormat="1" ht="18" customHeight="1" x14ac:dyDescent="0.25"/>
    <row r="1707" s="13" customFormat="1" ht="18" customHeight="1" x14ac:dyDescent="0.25"/>
    <row r="1708" s="13" customFormat="1" ht="18" customHeight="1" x14ac:dyDescent="0.25"/>
    <row r="1709" s="13" customFormat="1" ht="18" customHeight="1" x14ac:dyDescent="0.25"/>
    <row r="1710" s="13" customFormat="1" ht="18" customHeight="1" x14ac:dyDescent="0.25"/>
    <row r="1711" s="13" customFormat="1" ht="18" customHeight="1" x14ac:dyDescent="0.25"/>
    <row r="1712" s="13" customFormat="1" ht="18" customHeight="1" x14ac:dyDescent="0.25"/>
    <row r="1713" s="13" customFormat="1" ht="18" customHeight="1" x14ac:dyDescent="0.25"/>
    <row r="1714" s="13" customFormat="1" ht="18" customHeight="1" x14ac:dyDescent="0.25"/>
    <row r="1715" s="13" customFormat="1" ht="18" customHeight="1" x14ac:dyDescent="0.25"/>
    <row r="1716" s="13" customFormat="1" ht="18" customHeight="1" x14ac:dyDescent="0.25"/>
    <row r="1717" s="13" customFormat="1" ht="18" customHeight="1" x14ac:dyDescent="0.25"/>
    <row r="1718" s="13" customFormat="1" ht="18" customHeight="1" x14ac:dyDescent="0.25"/>
    <row r="1719" s="13" customFormat="1" ht="18" customHeight="1" x14ac:dyDescent="0.25"/>
    <row r="1720" s="13" customFormat="1" ht="18" customHeight="1" x14ac:dyDescent="0.25"/>
    <row r="1721" s="13" customFormat="1" ht="18" customHeight="1" x14ac:dyDescent="0.25"/>
    <row r="1722" s="13" customFormat="1" ht="18" customHeight="1" x14ac:dyDescent="0.25"/>
    <row r="1723" s="13" customFormat="1" ht="18" customHeight="1" x14ac:dyDescent="0.25"/>
    <row r="1724" s="13" customFormat="1" ht="18" customHeight="1" x14ac:dyDescent="0.25"/>
    <row r="1725" s="13" customFormat="1" ht="18" customHeight="1" x14ac:dyDescent="0.25"/>
    <row r="1726" s="13" customFormat="1" ht="18" customHeight="1" x14ac:dyDescent="0.25"/>
    <row r="1727" s="13" customFormat="1" ht="18" customHeight="1" x14ac:dyDescent="0.25"/>
    <row r="1728" s="13" customFormat="1" ht="18" customHeight="1" x14ac:dyDescent="0.25"/>
    <row r="1729" s="13" customFormat="1" ht="18" customHeight="1" x14ac:dyDescent="0.25"/>
    <row r="1730" s="13" customFormat="1" ht="18" customHeight="1" x14ac:dyDescent="0.25"/>
    <row r="1731" s="13" customFormat="1" ht="18" customHeight="1" x14ac:dyDescent="0.25"/>
    <row r="1732" s="13" customFormat="1" ht="18" customHeight="1" x14ac:dyDescent="0.25"/>
    <row r="1733" s="13" customFormat="1" ht="18" customHeight="1" x14ac:dyDescent="0.25"/>
    <row r="1734" s="13" customFormat="1" ht="18" customHeight="1" x14ac:dyDescent="0.25"/>
    <row r="1735" s="13" customFormat="1" ht="18" customHeight="1" x14ac:dyDescent="0.25"/>
    <row r="1736" s="13" customFormat="1" ht="18" customHeight="1" x14ac:dyDescent="0.25"/>
    <row r="1737" s="13" customFormat="1" ht="18" customHeight="1" x14ac:dyDescent="0.25"/>
    <row r="1738" s="13" customFormat="1" ht="18" customHeight="1" x14ac:dyDescent="0.25"/>
    <row r="1739" s="13" customFormat="1" ht="18" customHeight="1" x14ac:dyDescent="0.25"/>
    <row r="1740" s="13" customFormat="1" ht="18" customHeight="1" x14ac:dyDescent="0.25"/>
    <row r="1741" s="13" customFormat="1" ht="18" customHeight="1" x14ac:dyDescent="0.25"/>
    <row r="1742" s="13" customFormat="1" ht="18" customHeight="1" x14ac:dyDescent="0.25"/>
    <row r="1743" s="13" customFormat="1" ht="18" customHeight="1" x14ac:dyDescent="0.25"/>
    <row r="1744" s="13" customFormat="1" ht="18" customHeight="1" x14ac:dyDescent="0.25"/>
    <row r="1745" s="13" customFormat="1" ht="18" customHeight="1" x14ac:dyDescent="0.25"/>
    <row r="1746" s="13" customFormat="1" ht="18" customHeight="1" x14ac:dyDescent="0.25"/>
    <row r="1747" s="13" customFormat="1" ht="18" customHeight="1" x14ac:dyDescent="0.25"/>
    <row r="1748" s="13" customFormat="1" ht="18" customHeight="1" x14ac:dyDescent="0.25"/>
    <row r="1749" s="13" customFormat="1" ht="18" customHeight="1" x14ac:dyDescent="0.25"/>
    <row r="1750" s="13" customFormat="1" ht="18" customHeight="1" x14ac:dyDescent="0.25"/>
    <row r="1751" s="13" customFormat="1" ht="18" customHeight="1" x14ac:dyDescent="0.25"/>
    <row r="1752" s="13" customFormat="1" ht="18" customHeight="1" x14ac:dyDescent="0.25"/>
    <row r="1753" s="13" customFormat="1" ht="18" customHeight="1" x14ac:dyDescent="0.25"/>
    <row r="1754" s="13" customFormat="1" ht="18" customHeight="1" x14ac:dyDescent="0.25"/>
    <row r="1755" s="13" customFormat="1" ht="18" customHeight="1" x14ac:dyDescent="0.25"/>
    <row r="1756" s="13" customFormat="1" ht="18" customHeight="1" x14ac:dyDescent="0.25"/>
    <row r="1757" s="13" customFormat="1" ht="18" customHeight="1" x14ac:dyDescent="0.25"/>
    <row r="1758" s="13" customFormat="1" ht="18" customHeight="1" x14ac:dyDescent="0.25"/>
    <row r="1759" s="13" customFormat="1" ht="18" customHeight="1" x14ac:dyDescent="0.25"/>
    <row r="1760" s="13" customFormat="1" ht="18" customHeight="1" x14ac:dyDescent="0.25"/>
    <row r="1761" s="13" customFormat="1" ht="18" customHeight="1" x14ac:dyDescent="0.25"/>
    <row r="1762" s="13" customFormat="1" ht="18" customHeight="1" x14ac:dyDescent="0.25"/>
    <row r="1763" s="13" customFormat="1" ht="18" customHeight="1" x14ac:dyDescent="0.25"/>
    <row r="1764" s="13" customFormat="1" ht="18" customHeight="1" x14ac:dyDescent="0.25"/>
    <row r="1765" s="13" customFormat="1" ht="18" customHeight="1" x14ac:dyDescent="0.25"/>
    <row r="1766" s="13" customFormat="1" ht="18" customHeight="1" x14ac:dyDescent="0.25"/>
    <row r="1767" s="13" customFormat="1" ht="18" customHeight="1" x14ac:dyDescent="0.25"/>
    <row r="1768" s="13" customFormat="1" ht="18" customHeight="1" x14ac:dyDescent="0.25"/>
    <row r="1769" s="13" customFormat="1" ht="18" customHeight="1" x14ac:dyDescent="0.25"/>
    <row r="1770" s="13" customFormat="1" ht="18" customHeight="1" x14ac:dyDescent="0.25"/>
    <row r="1771" s="13" customFormat="1" ht="18" customHeight="1" x14ac:dyDescent="0.25"/>
    <row r="1772" s="13" customFormat="1" ht="18" customHeight="1" x14ac:dyDescent="0.25"/>
    <row r="1773" s="13" customFormat="1" ht="18" customHeight="1" x14ac:dyDescent="0.25"/>
    <row r="1774" s="13" customFormat="1" ht="18" customHeight="1" x14ac:dyDescent="0.25"/>
    <row r="1775" s="13" customFormat="1" ht="18" customHeight="1" x14ac:dyDescent="0.25"/>
    <row r="1776" s="13" customFormat="1" ht="18" customHeight="1" x14ac:dyDescent="0.25"/>
    <row r="1777" s="13" customFormat="1" ht="18" customHeight="1" x14ac:dyDescent="0.25"/>
    <row r="1778" s="13" customFormat="1" ht="18" customHeight="1" x14ac:dyDescent="0.25"/>
    <row r="1779" s="13" customFormat="1" ht="18" customHeight="1" x14ac:dyDescent="0.25"/>
    <row r="1780" s="13" customFormat="1" ht="18" customHeight="1" x14ac:dyDescent="0.25"/>
    <row r="1781" s="13" customFormat="1" ht="18" customHeight="1" x14ac:dyDescent="0.25"/>
    <row r="1782" s="13" customFormat="1" ht="18" customHeight="1" x14ac:dyDescent="0.25"/>
    <row r="1783" s="13" customFormat="1" ht="18" customHeight="1" x14ac:dyDescent="0.25"/>
    <row r="1784" s="13" customFormat="1" ht="18" customHeight="1" x14ac:dyDescent="0.25"/>
    <row r="1785" s="13" customFormat="1" ht="18" customHeight="1" x14ac:dyDescent="0.25"/>
    <row r="1786" s="13" customFormat="1" ht="18" customHeight="1" x14ac:dyDescent="0.25"/>
    <row r="1787" s="13" customFormat="1" ht="18" customHeight="1" x14ac:dyDescent="0.25"/>
    <row r="1788" s="13" customFormat="1" ht="18" customHeight="1" x14ac:dyDescent="0.25"/>
    <row r="1789" s="13" customFormat="1" ht="18" customHeight="1" x14ac:dyDescent="0.25"/>
    <row r="1790" s="13" customFormat="1" ht="18" customHeight="1" x14ac:dyDescent="0.25"/>
    <row r="1791" s="13" customFormat="1" ht="18" customHeight="1" x14ac:dyDescent="0.25"/>
    <row r="1792" s="13" customFormat="1" ht="18" customHeight="1" x14ac:dyDescent="0.25"/>
    <row r="1793" s="13" customFormat="1" ht="18" customHeight="1" x14ac:dyDescent="0.25"/>
    <row r="1794" s="13" customFormat="1" ht="18" customHeight="1" x14ac:dyDescent="0.25"/>
    <row r="1795" s="13" customFormat="1" ht="18" customHeight="1" x14ac:dyDescent="0.25"/>
    <row r="1796" s="13" customFormat="1" ht="18" customHeight="1" x14ac:dyDescent="0.25"/>
    <row r="1797" s="13" customFormat="1" ht="18" customHeight="1" x14ac:dyDescent="0.25"/>
    <row r="1798" s="13" customFormat="1" ht="18" customHeight="1" x14ac:dyDescent="0.25"/>
    <row r="1799" s="13" customFormat="1" ht="18" customHeight="1" x14ac:dyDescent="0.25"/>
    <row r="1800" s="13" customFormat="1" ht="18" customHeight="1" x14ac:dyDescent="0.25"/>
    <row r="1801" s="13" customFormat="1" ht="18" customHeight="1" x14ac:dyDescent="0.25"/>
    <row r="1802" s="13" customFormat="1" ht="18" customHeight="1" x14ac:dyDescent="0.25"/>
    <row r="1803" s="13" customFormat="1" ht="18" customHeight="1" x14ac:dyDescent="0.25"/>
    <row r="1804" s="13" customFormat="1" ht="18" customHeight="1" x14ac:dyDescent="0.25"/>
    <row r="1805" s="13" customFormat="1" ht="18" customHeight="1" x14ac:dyDescent="0.25"/>
    <row r="1806" s="13" customFormat="1" ht="18" customHeight="1" x14ac:dyDescent="0.25"/>
    <row r="1807" s="13" customFormat="1" ht="18" customHeight="1" x14ac:dyDescent="0.25"/>
    <row r="1808" s="13" customFormat="1" ht="18" customHeight="1" x14ac:dyDescent="0.25"/>
    <row r="1809" s="13" customFormat="1" ht="18" customHeight="1" x14ac:dyDescent="0.25"/>
    <row r="1810" s="13" customFormat="1" ht="18" customHeight="1" x14ac:dyDescent="0.25"/>
    <row r="1811" s="13" customFormat="1" ht="18" customHeight="1" x14ac:dyDescent="0.25"/>
    <row r="1812" s="13" customFormat="1" ht="18" customHeight="1" x14ac:dyDescent="0.25"/>
    <row r="1813" s="13" customFormat="1" ht="18" customHeight="1" x14ac:dyDescent="0.25"/>
    <row r="1814" s="13" customFormat="1" ht="18" customHeight="1" x14ac:dyDescent="0.25"/>
    <row r="1815" s="13" customFormat="1" ht="18" customHeight="1" x14ac:dyDescent="0.25"/>
    <row r="1816" s="13" customFormat="1" ht="18" customHeight="1" x14ac:dyDescent="0.25"/>
    <row r="1817" s="13" customFormat="1" ht="18" customHeight="1" x14ac:dyDescent="0.25"/>
    <row r="1818" s="13" customFormat="1" ht="18" customHeight="1" x14ac:dyDescent="0.25"/>
    <row r="1819" s="13" customFormat="1" ht="18" customHeight="1" x14ac:dyDescent="0.25"/>
    <row r="1820" s="13" customFormat="1" ht="18" customHeight="1" x14ac:dyDescent="0.25"/>
    <row r="1821" s="13" customFormat="1" ht="18" customHeight="1" x14ac:dyDescent="0.25"/>
    <row r="1822" s="13" customFormat="1" ht="18" customHeight="1" x14ac:dyDescent="0.25"/>
    <row r="1823" s="13" customFormat="1" ht="18" customHeight="1" x14ac:dyDescent="0.25"/>
    <row r="1824" s="13" customFormat="1" ht="18" customHeight="1" x14ac:dyDescent="0.25"/>
    <row r="1825" s="13" customFormat="1" ht="18" customHeight="1" x14ac:dyDescent="0.25"/>
    <row r="1826" s="13" customFormat="1" ht="18" customHeight="1" x14ac:dyDescent="0.25"/>
    <row r="1827" s="13" customFormat="1" ht="18" customHeight="1" x14ac:dyDescent="0.25"/>
    <row r="1828" s="13" customFormat="1" ht="18" customHeight="1" x14ac:dyDescent="0.25"/>
    <row r="1829" s="13" customFormat="1" ht="18" customHeight="1" x14ac:dyDescent="0.25"/>
    <row r="1830" s="13" customFormat="1" ht="18" customHeight="1" x14ac:dyDescent="0.25"/>
    <row r="1831" s="13" customFormat="1" ht="18" customHeight="1" x14ac:dyDescent="0.25"/>
    <row r="1832" s="13" customFormat="1" ht="18" customHeight="1" x14ac:dyDescent="0.25"/>
    <row r="1833" s="13" customFormat="1" ht="18" customHeight="1" x14ac:dyDescent="0.25"/>
    <row r="1834" s="13" customFormat="1" ht="18" customHeight="1" x14ac:dyDescent="0.25"/>
    <row r="1835" s="13" customFormat="1" ht="18" customHeight="1" x14ac:dyDescent="0.25"/>
    <row r="1836" s="13" customFormat="1" ht="18" customHeight="1" x14ac:dyDescent="0.25"/>
    <row r="1837" s="13" customFormat="1" ht="18" customHeight="1" x14ac:dyDescent="0.25"/>
    <row r="1838" s="13" customFormat="1" ht="18" customHeight="1" x14ac:dyDescent="0.25"/>
    <row r="1839" s="13" customFormat="1" ht="18" customHeight="1" x14ac:dyDescent="0.25"/>
    <row r="1840" s="13" customFormat="1" ht="18" customHeight="1" x14ac:dyDescent="0.25"/>
    <row r="1841" s="13" customFormat="1" ht="18" customHeight="1" x14ac:dyDescent="0.25"/>
    <row r="1842" s="13" customFormat="1" ht="18" customHeight="1" x14ac:dyDescent="0.25"/>
    <row r="1843" s="13" customFormat="1" ht="18" customHeight="1" x14ac:dyDescent="0.25"/>
    <row r="1844" s="13" customFormat="1" ht="18" customHeight="1" x14ac:dyDescent="0.25"/>
    <row r="1845" s="13" customFormat="1" ht="18" customHeight="1" x14ac:dyDescent="0.25"/>
    <row r="1846" s="13" customFormat="1" ht="18" customHeight="1" x14ac:dyDescent="0.25"/>
    <row r="1847" s="13" customFormat="1" ht="18" customHeight="1" x14ac:dyDescent="0.25"/>
    <row r="1848" s="13" customFormat="1" ht="18" customHeight="1" x14ac:dyDescent="0.25"/>
    <row r="1849" s="13" customFormat="1" ht="18" customHeight="1" x14ac:dyDescent="0.25"/>
    <row r="1850" s="13" customFormat="1" ht="18" customHeight="1" x14ac:dyDescent="0.25"/>
    <row r="1851" s="13" customFormat="1" ht="18" customHeight="1" x14ac:dyDescent="0.25"/>
    <row r="1852" s="13" customFormat="1" ht="18" customHeight="1" x14ac:dyDescent="0.25"/>
    <row r="1853" s="13" customFormat="1" ht="18" customHeight="1" x14ac:dyDescent="0.25"/>
    <row r="1854" s="13" customFormat="1" ht="18" customHeight="1" x14ac:dyDescent="0.25"/>
    <row r="1855" s="13" customFormat="1" ht="18" customHeight="1" x14ac:dyDescent="0.25"/>
    <row r="1856" s="13" customFormat="1" ht="18" customHeight="1" x14ac:dyDescent="0.25"/>
    <row r="1857" s="13" customFormat="1" ht="18" customHeight="1" x14ac:dyDescent="0.25"/>
    <row r="1858" s="13" customFormat="1" ht="18" customHeight="1" x14ac:dyDescent="0.25"/>
    <row r="1859" s="13" customFormat="1" ht="18" customHeight="1" x14ac:dyDescent="0.25"/>
    <row r="1860" s="13" customFormat="1" ht="18" customHeight="1" x14ac:dyDescent="0.25"/>
    <row r="1861" s="13" customFormat="1" ht="18" customHeight="1" x14ac:dyDescent="0.25"/>
    <row r="1862" s="13" customFormat="1" ht="18" customHeight="1" x14ac:dyDescent="0.25"/>
    <row r="1863" s="13" customFormat="1" ht="18" customHeight="1" x14ac:dyDescent="0.25"/>
    <row r="1864" s="13" customFormat="1" ht="18" customHeight="1" x14ac:dyDescent="0.25"/>
    <row r="1865" s="13" customFormat="1" ht="18" customHeight="1" x14ac:dyDescent="0.25"/>
    <row r="1866" s="13" customFormat="1" ht="18" customHeight="1" x14ac:dyDescent="0.25"/>
    <row r="1867" s="13" customFormat="1" ht="18" customHeight="1" x14ac:dyDescent="0.25"/>
    <row r="1868" s="13" customFormat="1" ht="18" customHeight="1" x14ac:dyDescent="0.25"/>
    <row r="1869" s="13" customFormat="1" ht="18" customHeight="1" x14ac:dyDescent="0.25"/>
    <row r="1870" s="13" customFormat="1" ht="18" customHeight="1" x14ac:dyDescent="0.25"/>
    <row r="1871" s="13" customFormat="1" ht="18" customHeight="1" x14ac:dyDescent="0.25"/>
    <row r="1872" s="13" customFormat="1" ht="18" customHeight="1" x14ac:dyDescent="0.25"/>
    <row r="1873" s="13" customFormat="1" ht="18" customHeight="1" x14ac:dyDescent="0.25"/>
    <row r="1874" s="13" customFormat="1" ht="18" customHeight="1" x14ac:dyDescent="0.25"/>
    <row r="1875" s="13" customFormat="1" ht="18" customHeight="1" x14ac:dyDescent="0.25"/>
    <row r="1876" s="13" customFormat="1" ht="18" customHeight="1" x14ac:dyDescent="0.25"/>
    <row r="1877" s="13" customFormat="1" ht="18" customHeight="1" x14ac:dyDescent="0.25"/>
    <row r="1878" s="13" customFormat="1" ht="18" customHeight="1" x14ac:dyDescent="0.25"/>
    <row r="1879" s="13" customFormat="1" ht="18" customHeight="1" x14ac:dyDescent="0.25"/>
    <row r="1880" s="13" customFormat="1" ht="18" customHeight="1" x14ac:dyDescent="0.25"/>
    <row r="1881" s="13" customFormat="1" ht="18" customHeight="1" x14ac:dyDescent="0.25"/>
    <row r="1882" s="13" customFormat="1" ht="18" customHeight="1" x14ac:dyDescent="0.25"/>
    <row r="1883" s="13" customFormat="1" ht="18" customHeight="1" x14ac:dyDescent="0.25"/>
    <row r="1884" s="13" customFormat="1" ht="18" customHeight="1" x14ac:dyDescent="0.25"/>
    <row r="1885" s="13" customFormat="1" ht="18" customHeight="1" x14ac:dyDescent="0.25"/>
    <row r="1886" s="13" customFormat="1" ht="18" customHeight="1" x14ac:dyDescent="0.25"/>
    <row r="1887" s="13" customFormat="1" ht="18" customHeight="1" x14ac:dyDescent="0.25"/>
    <row r="1888" s="13" customFormat="1" ht="18" customHeight="1" x14ac:dyDescent="0.25"/>
    <row r="1889" s="13" customFormat="1" ht="18" customHeight="1" x14ac:dyDescent="0.25"/>
    <row r="1890" s="13" customFormat="1" ht="18" customHeight="1" x14ac:dyDescent="0.25"/>
    <row r="1891" s="13" customFormat="1" ht="18" customHeight="1" x14ac:dyDescent="0.25"/>
    <row r="1892" s="13" customFormat="1" ht="18" customHeight="1" x14ac:dyDescent="0.25"/>
    <row r="1893" s="13" customFormat="1" ht="18" customHeight="1" x14ac:dyDescent="0.25"/>
    <row r="1894" s="13" customFormat="1" ht="18" customHeight="1" x14ac:dyDescent="0.25"/>
    <row r="1895" s="13" customFormat="1" ht="18" customHeight="1" x14ac:dyDescent="0.25"/>
    <row r="1896" s="13" customFormat="1" ht="18" customHeight="1" x14ac:dyDescent="0.25"/>
    <row r="1897" s="13" customFormat="1" ht="18" customHeight="1" x14ac:dyDescent="0.25"/>
    <row r="1898" s="13" customFormat="1" ht="18" customHeight="1" x14ac:dyDescent="0.25"/>
    <row r="1899" s="13" customFormat="1" ht="18" customHeight="1" x14ac:dyDescent="0.25"/>
    <row r="1900" s="13" customFormat="1" ht="18" customHeight="1" x14ac:dyDescent="0.25"/>
    <row r="1901" s="13" customFormat="1" ht="18" customHeight="1" x14ac:dyDescent="0.25"/>
    <row r="1902" s="13" customFormat="1" ht="18" customHeight="1" x14ac:dyDescent="0.25"/>
    <row r="1903" s="13" customFormat="1" ht="18" customHeight="1" x14ac:dyDescent="0.25"/>
    <row r="1904" s="13" customFormat="1" ht="18" customHeight="1" x14ac:dyDescent="0.25"/>
    <row r="1905" s="13" customFormat="1" ht="18" customHeight="1" x14ac:dyDescent="0.25"/>
    <row r="1906" s="13" customFormat="1" ht="18" customHeight="1" x14ac:dyDescent="0.25"/>
    <row r="1907" s="13" customFormat="1" ht="18" customHeight="1" x14ac:dyDescent="0.25"/>
    <row r="1908" s="13" customFormat="1" ht="18" customHeight="1" x14ac:dyDescent="0.25"/>
    <row r="1909" s="13" customFormat="1" ht="18" customHeight="1" x14ac:dyDescent="0.25"/>
    <row r="1910" s="13" customFormat="1" ht="18" customHeight="1" x14ac:dyDescent="0.25"/>
    <row r="1911" s="13" customFormat="1" ht="18" customHeight="1" x14ac:dyDescent="0.25"/>
    <row r="1912" s="13" customFormat="1" ht="18" customHeight="1" x14ac:dyDescent="0.25"/>
    <row r="1913" s="13" customFormat="1" ht="18" customHeight="1" x14ac:dyDescent="0.25"/>
    <row r="1914" s="13" customFormat="1" ht="18" customHeight="1" x14ac:dyDescent="0.25"/>
    <row r="1915" s="13" customFormat="1" ht="18" customHeight="1" x14ac:dyDescent="0.25"/>
    <row r="1916" s="13" customFormat="1" ht="18" customHeight="1" x14ac:dyDescent="0.25"/>
    <row r="1917" s="13" customFormat="1" ht="18" customHeight="1" x14ac:dyDescent="0.25"/>
    <row r="1918" s="13" customFormat="1" ht="18" customHeight="1" x14ac:dyDescent="0.25"/>
    <row r="1919" s="13" customFormat="1" ht="18" customHeight="1" x14ac:dyDescent="0.25"/>
    <row r="1920" s="13" customFormat="1" ht="18" customHeight="1" x14ac:dyDescent="0.25"/>
    <row r="1921" s="13" customFormat="1" ht="18" customHeight="1" x14ac:dyDescent="0.25"/>
    <row r="1922" s="13" customFormat="1" ht="18" customHeight="1" x14ac:dyDescent="0.25"/>
    <row r="1923" s="13" customFormat="1" ht="18" customHeight="1" x14ac:dyDescent="0.25"/>
    <row r="1924" s="13" customFormat="1" ht="18" customHeight="1" x14ac:dyDescent="0.25"/>
    <row r="1925" s="13" customFormat="1" ht="18" customHeight="1" x14ac:dyDescent="0.25"/>
    <row r="1926" s="13" customFormat="1" ht="18" customHeight="1" x14ac:dyDescent="0.25"/>
    <row r="1927" s="13" customFormat="1" ht="18" customHeight="1" x14ac:dyDescent="0.25"/>
    <row r="1928" s="13" customFormat="1" ht="18" customHeight="1" x14ac:dyDescent="0.25"/>
    <row r="1929" s="13" customFormat="1" ht="18" customHeight="1" x14ac:dyDescent="0.25"/>
    <row r="1930" s="13" customFormat="1" ht="18" customHeight="1" x14ac:dyDescent="0.25"/>
    <row r="1931" s="13" customFormat="1" ht="18" customHeight="1" x14ac:dyDescent="0.25"/>
    <row r="1932" s="13" customFormat="1" ht="18" customHeight="1" x14ac:dyDescent="0.25"/>
    <row r="1933" s="13" customFormat="1" ht="18" customHeight="1" x14ac:dyDescent="0.25"/>
    <row r="1934" s="13" customFormat="1" ht="18" customHeight="1" x14ac:dyDescent="0.25"/>
    <row r="1935" s="13" customFormat="1" ht="18" customHeight="1" x14ac:dyDescent="0.25"/>
    <row r="1936" s="13" customFormat="1" ht="18" customHeight="1" x14ac:dyDescent="0.25"/>
    <row r="1937" s="13" customFormat="1" ht="18" customHeight="1" x14ac:dyDescent="0.25"/>
    <row r="1938" s="13" customFormat="1" ht="18" customHeight="1" x14ac:dyDescent="0.25"/>
    <row r="1939" s="13" customFormat="1" ht="18" customHeight="1" x14ac:dyDescent="0.25"/>
    <row r="1940" s="13" customFormat="1" ht="18" customHeight="1" x14ac:dyDescent="0.25"/>
    <row r="1941" s="13" customFormat="1" ht="18" customHeight="1" x14ac:dyDescent="0.25"/>
    <row r="1942" s="13" customFormat="1" ht="18" customHeight="1" x14ac:dyDescent="0.25"/>
    <row r="1943" s="13" customFormat="1" ht="18" customHeight="1" x14ac:dyDescent="0.25"/>
    <row r="1944" s="13" customFormat="1" ht="18" customHeight="1" x14ac:dyDescent="0.25"/>
    <row r="1945" s="13" customFormat="1" ht="18" customHeight="1" x14ac:dyDescent="0.25"/>
    <row r="1946" s="13" customFormat="1" ht="18" customHeight="1" x14ac:dyDescent="0.25"/>
    <row r="1947" s="13" customFormat="1" ht="18" customHeight="1" x14ac:dyDescent="0.25"/>
    <row r="1948" s="13" customFormat="1" ht="18" customHeight="1" x14ac:dyDescent="0.25"/>
    <row r="1949" s="13" customFormat="1" ht="18" customHeight="1" x14ac:dyDescent="0.25"/>
    <row r="1950" s="13" customFormat="1" ht="18" customHeight="1" x14ac:dyDescent="0.25"/>
    <row r="1951" s="13" customFormat="1" ht="18" customHeight="1" x14ac:dyDescent="0.25"/>
    <row r="1952" s="13" customFormat="1" ht="18" customHeight="1" x14ac:dyDescent="0.25"/>
    <row r="1953" s="13" customFormat="1" ht="18" customHeight="1" x14ac:dyDescent="0.25"/>
    <row r="1954" s="13" customFormat="1" ht="18" customHeight="1" x14ac:dyDescent="0.25"/>
    <row r="1955" s="13" customFormat="1" ht="18" customHeight="1" x14ac:dyDescent="0.25"/>
    <row r="1956" s="13" customFormat="1" ht="18" customHeight="1" x14ac:dyDescent="0.25"/>
    <row r="1957" s="13" customFormat="1" ht="18" customHeight="1" x14ac:dyDescent="0.25"/>
    <row r="1958" s="13" customFormat="1" ht="18" customHeight="1" x14ac:dyDescent="0.25"/>
    <row r="1959" s="13" customFormat="1" ht="18" customHeight="1" x14ac:dyDescent="0.25"/>
    <row r="1960" s="13" customFormat="1" ht="18" customHeight="1" x14ac:dyDescent="0.25"/>
    <row r="1961" s="13" customFormat="1" ht="18" customHeight="1" x14ac:dyDescent="0.25"/>
    <row r="1962" s="13" customFormat="1" ht="18" customHeight="1" x14ac:dyDescent="0.25"/>
    <row r="1963" s="13" customFormat="1" ht="18" customHeight="1" x14ac:dyDescent="0.25"/>
    <row r="1964" s="13" customFormat="1" ht="18" customHeight="1" x14ac:dyDescent="0.25"/>
    <row r="1965" s="13" customFormat="1" ht="18" customHeight="1" x14ac:dyDescent="0.25"/>
    <row r="1966" s="13" customFormat="1" ht="18" customHeight="1" x14ac:dyDescent="0.25"/>
    <row r="1967" s="13" customFormat="1" ht="18" customHeight="1" x14ac:dyDescent="0.25"/>
    <row r="1968" s="13" customFormat="1" ht="18" customHeight="1" x14ac:dyDescent="0.25"/>
    <row r="1969" s="13" customFormat="1" ht="18" customHeight="1" x14ac:dyDescent="0.25"/>
    <row r="1970" s="13" customFormat="1" ht="18" customHeight="1" x14ac:dyDescent="0.25"/>
    <row r="1971" s="13" customFormat="1" ht="18" customHeight="1" x14ac:dyDescent="0.25"/>
    <row r="1972" s="13" customFormat="1" ht="18" customHeight="1" x14ac:dyDescent="0.25"/>
    <row r="1973" s="13" customFormat="1" ht="18" customHeight="1" x14ac:dyDescent="0.25"/>
    <row r="1974" s="13" customFormat="1" ht="18" customHeight="1" x14ac:dyDescent="0.25"/>
    <row r="1975" s="13" customFormat="1" ht="18" customHeight="1" x14ac:dyDescent="0.25"/>
    <row r="1976" s="13" customFormat="1" ht="18" customHeight="1" x14ac:dyDescent="0.25"/>
    <row r="1977" s="13" customFormat="1" ht="18" customHeight="1" x14ac:dyDescent="0.25"/>
    <row r="1978" s="13" customFormat="1" ht="18" customHeight="1" x14ac:dyDescent="0.25"/>
    <row r="1979" s="13" customFormat="1" ht="18" customHeight="1" x14ac:dyDescent="0.25"/>
    <row r="1980" s="13" customFormat="1" ht="18" customHeight="1" x14ac:dyDescent="0.25"/>
    <row r="1981" s="13" customFormat="1" ht="18" customHeight="1" x14ac:dyDescent="0.25"/>
    <row r="1982" s="13" customFormat="1" ht="18" customHeight="1" x14ac:dyDescent="0.25"/>
    <row r="1983" s="13" customFormat="1" ht="18" customHeight="1" x14ac:dyDescent="0.25"/>
    <row r="1984" s="13" customFormat="1" ht="18" customHeight="1" x14ac:dyDescent="0.25"/>
    <row r="1985" s="13" customFormat="1" ht="18" customHeight="1" x14ac:dyDescent="0.25"/>
    <row r="1986" s="13" customFormat="1" ht="18" customHeight="1" x14ac:dyDescent="0.25"/>
    <row r="1987" s="13" customFormat="1" ht="18" customHeight="1" x14ac:dyDescent="0.25"/>
    <row r="1988" s="13" customFormat="1" ht="18" customHeight="1" x14ac:dyDescent="0.25"/>
    <row r="1989" s="13" customFormat="1" ht="18" customHeight="1" x14ac:dyDescent="0.25"/>
    <row r="1990" s="13" customFormat="1" ht="18" customHeight="1" x14ac:dyDescent="0.25"/>
    <row r="1991" s="13" customFormat="1" ht="18" customHeight="1" x14ac:dyDescent="0.25"/>
    <row r="1992" s="13" customFormat="1" ht="18" customHeight="1" x14ac:dyDescent="0.25"/>
    <row r="1993" s="13" customFormat="1" ht="18" customHeight="1" x14ac:dyDescent="0.25"/>
    <row r="1994" s="13" customFormat="1" ht="18" customHeight="1" x14ac:dyDescent="0.25"/>
    <row r="1995" s="13" customFormat="1" ht="18" customHeight="1" x14ac:dyDescent="0.25"/>
    <row r="1996" s="13" customFormat="1" ht="18" customHeight="1" x14ac:dyDescent="0.25"/>
    <row r="1997" s="13" customFormat="1" ht="18" customHeight="1" x14ac:dyDescent="0.25"/>
    <row r="1998" s="13" customFormat="1" ht="18" customHeight="1" x14ac:dyDescent="0.25"/>
    <row r="1999" s="13" customFormat="1" ht="18" customHeight="1" x14ac:dyDescent="0.25"/>
    <row r="2000" s="13" customFormat="1" ht="18" customHeight="1" x14ac:dyDescent="0.25"/>
    <row r="2001" s="13" customFormat="1" ht="18" customHeight="1" x14ac:dyDescent="0.25"/>
    <row r="2002" s="13" customFormat="1" ht="18" customHeight="1" x14ac:dyDescent="0.25"/>
    <row r="2003" s="13" customFormat="1" ht="18" customHeight="1" x14ac:dyDescent="0.25"/>
    <row r="2004" s="13" customFormat="1" ht="18" customHeight="1" x14ac:dyDescent="0.25"/>
    <row r="2005" s="13" customFormat="1" ht="18" customHeight="1" x14ac:dyDescent="0.25"/>
    <row r="2006" s="13" customFormat="1" ht="18" customHeight="1" x14ac:dyDescent="0.25"/>
    <row r="2007" s="13" customFormat="1" ht="18" customHeight="1" x14ac:dyDescent="0.25"/>
    <row r="2008" s="13" customFormat="1" ht="18" customHeight="1" x14ac:dyDescent="0.25"/>
    <row r="2009" s="13" customFormat="1" ht="18" customHeight="1" x14ac:dyDescent="0.25"/>
    <row r="2010" s="13" customFormat="1" ht="18" customHeight="1" x14ac:dyDescent="0.25"/>
    <row r="2011" s="13" customFormat="1" ht="18" customHeight="1" x14ac:dyDescent="0.25"/>
    <row r="2012" s="13" customFormat="1" ht="18" customHeight="1" x14ac:dyDescent="0.25"/>
    <row r="2013" s="13" customFormat="1" ht="18" customHeight="1" x14ac:dyDescent="0.25"/>
    <row r="2014" s="13" customFormat="1" ht="18" customHeight="1" x14ac:dyDescent="0.25"/>
    <row r="2015" s="13" customFormat="1" ht="18" customHeight="1" x14ac:dyDescent="0.25"/>
    <row r="2016" s="13" customFormat="1" ht="18" customHeight="1" x14ac:dyDescent="0.25"/>
    <row r="2017" s="13" customFormat="1" ht="18" customHeight="1" x14ac:dyDescent="0.25"/>
    <row r="2018" s="13" customFormat="1" ht="18" customHeight="1" x14ac:dyDescent="0.25"/>
    <row r="2019" s="13" customFormat="1" ht="18" customHeight="1" x14ac:dyDescent="0.25"/>
    <row r="2020" s="13" customFormat="1" ht="18" customHeight="1" x14ac:dyDescent="0.25"/>
    <row r="2021" s="13" customFormat="1" ht="18" customHeight="1" x14ac:dyDescent="0.25"/>
    <row r="2022" s="13" customFormat="1" ht="18" customHeight="1" x14ac:dyDescent="0.25"/>
    <row r="2023" s="13" customFormat="1" ht="18" customHeight="1" x14ac:dyDescent="0.25"/>
    <row r="2024" s="13" customFormat="1" ht="18" customHeight="1" x14ac:dyDescent="0.25"/>
    <row r="2025" s="13" customFormat="1" ht="18" customHeight="1" x14ac:dyDescent="0.25"/>
    <row r="2026" s="13" customFormat="1" ht="18" customHeight="1" x14ac:dyDescent="0.25"/>
    <row r="2027" s="13" customFormat="1" ht="18" customHeight="1" x14ac:dyDescent="0.25"/>
    <row r="2028" s="13" customFormat="1" ht="18" customHeight="1" x14ac:dyDescent="0.25"/>
    <row r="2029" s="13" customFormat="1" ht="18" customHeight="1" x14ac:dyDescent="0.25"/>
    <row r="2030" s="13" customFormat="1" ht="18" customHeight="1" x14ac:dyDescent="0.25"/>
    <row r="2031" s="13" customFormat="1" ht="18" customHeight="1" x14ac:dyDescent="0.25"/>
    <row r="2032" s="13" customFormat="1" ht="18" customHeight="1" x14ac:dyDescent="0.25"/>
    <row r="2033" s="13" customFormat="1" ht="18" customHeight="1" x14ac:dyDescent="0.25"/>
    <row r="2034" s="13" customFormat="1" ht="18" customHeight="1" x14ac:dyDescent="0.25"/>
    <row r="2035" s="13" customFormat="1" ht="18" customHeight="1" x14ac:dyDescent="0.25"/>
    <row r="2036" s="13" customFormat="1" ht="18" customHeight="1" x14ac:dyDescent="0.25"/>
    <row r="2037" s="13" customFormat="1" ht="18" customHeight="1" x14ac:dyDescent="0.25"/>
    <row r="2038" s="13" customFormat="1" ht="18" customHeight="1" x14ac:dyDescent="0.25"/>
    <row r="2039" s="13" customFormat="1" ht="18" customHeight="1" x14ac:dyDescent="0.25"/>
    <row r="2040" s="13" customFormat="1" ht="18" customHeight="1" x14ac:dyDescent="0.25"/>
    <row r="2041" s="13" customFormat="1" ht="18" customHeight="1" x14ac:dyDescent="0.25"/>
    <row r="2042" s="13" customFormat="1" ht="18" customHeight="1" x14ac:dyDescent="0.25"/>
    <row r="2043" s="13" customFormat="1" ht="18" customHeight="1" x14ac:dyDescent="0.25"/>
    <row r="2044" s="13" customFormat="1" ht="18" customHeight="1" x14ac:dyDescent="0.25"/>
    <row r="2045" s="13" customFormat="1" ht="18" customHeight="1" x14ac:dyDescent="0.25"/>
    <row r="2046" s="13" customFormat="1" ht="18" customHeight="1" x14ac:dyDescent="0.25"/>
    <row r="2047" s="13" customFormat="1" ht="18" customHeight="1" x14ac:dyDescent="0.25"/>
    <row r="2048" s="13" customFormat="1" ht="18" customHeight="1" x14ac:dyDescent="0.25"/>
    <row r="2049" s="13" customFormat="1" ht="18" customHeight="1" x14ac:dyDescent="0.25"/>
    <row r="2050" s="13" customFormat="1" ht="18" customHeight="1" x14ac:dyDescent="0.25"/>
    <row r="2051" s="13" customFormat="1" ht="18" customHeight="1" x14ac:dyDescent="0.25"/>
    <row r="2052" s="13" customFormat="1" ht="18" customHeight="1" x14ac:dyDescent="0.25"/>
    <row r="2053" s="13" customFormat="1" ht="18" customHeight="1" x14ac:dyDescent="0.25"/>
    <row r="2054" s="13" customFormat="1" ht="18" customHeight="1" x14ac:dyDescent="0.25"/>
    <row r="2055" s="13" customFormat="1" ht="18" customHeight="1" x14ac:dyDescent="0.25"/>
    <row r="2056" s="13" customFormat="1" ht="18" customHeight="1" x14ac:dyDescent="0.25"/>
    <row r="2057" s="13" customFormat="1" ht="18" customHeight="1" x14ac:dyDescent="0.25"/>
    <row r="2058" s="13" customFormat="1" ht="18" customHeight="1" x14ac:dyDescent="0.25"/>
    <row r="2059" s="13" customFormat="1" ht="18" customHeight="1" x14ac:dyDescent="0.25"/>
    <row r="2060" s="13" customFormat="1" ht="18" customHeight="1" x14ac:dyDescent="0.25"/>
    <row r="2061" s="13" customFormat="1" ht="18" customHeight="1" x14ac:dyDescent="0.25"/>
    <row r="2062" s="13" customFormat="1" ht="18" customHeight="1" x14ac:dyDescent="0.25"/>
    <row r="2063" s="13" customFormat="1" ht="18" customHeight="1" x14ac:dyDescent="0.25"/>
    <row r="2064" s="13" customFormat="1" ht="18" customHeight="1" x14ac:dyDescent="0.25"/>
    <row r="2065" s="13" customFormat="1" ht="18" customHeight="1" x14ac:dyDescent="0.25"/>
    <row r="2066" s="13" customFormat="1" ht="18" customHeight="1" x14ac:dyDescent="0.25"/>
    <row r="2067" s="13" customFormat="1" ht="18" customHeight="1" x14ac:dyDescent="0.25"/>
    <row r="2068" s="13" customFormat="1" ht="18" customHeight="1" x14ac:dyDescent="0.25"/>
    <row r="2069" s="13" customFormat="1" ht="18" customHeight="1" x14ac:dyDescent="0.25"/>
    <row r="2070" s="13" customFormat="1" ht="18" customHeight="1" x14ac:dyDescent="0.25"/>
    <row r="2071" s="13" customFormat="1" ht="18" customHeight="1" x14ac:dyDescent="0.25"/>
    <row r="2072" s="13" customFormat="1" ht="18" customHeight="1" x14ac:dyDescent="0.25"/>
    <row r="2073" s="13" customFormat="1" ht="18" customHeight="1" x14ac:dyDescent="0.25"/>
    <row r="2074" s="13" customFormat="1" ht="18" customHeight="1" x14ac:dyDescent="0.25"/>
    <row r="2075" s="13" customFormat="1" ht="18" customHeight="1" x14ac:dyDescent="0.25"/>
    <row r="2076" s="13" customFormat="1" ht="18" customHeight="1" x14ac:dyDescent="0.25"/>
    <row r="2077" s="13" customFormat="1" ht="18" customHeight="1" x14ac:dyDescent="0.25"/>
    <row r="2078" s="13" customFormat="1" ht="18" customHeight="1" x14ac:dyDescent="0.25"/>
    <row r="2079" s="13" customFormat="1" ht="18" customHeight="1" x14ac:dyDescent="0.25"/>
    <row r="2080" s="13" customFormat="1" ht="18" customHeight="1" x14ac:dyDescent="0.25"/>
    <row r="2081" s="13" customFormat="1" ht="18" customHeight="1" x14ac:dyDescent="0.25"/>
    <row r="2082" s="13" customFormat="1" ht="18" customHeight="1" x14ac:dyDescent="0.25"/>
    <row r="2083" s="13" customFormat="1" ht="18" customHeight="1" x14ac:dyDescent="0.25"/>
    <row r="2084" s="13" customFormat="1" ht="18" customHeight="1" x14ac:dyDescent="0.25"/>
    <row r="2085" s="13" customFormat="1" ht="18" customHeight="1" x14ac:dyDescent="0.25"/>
    <row r="2086" s="13" customFormat="1" ht="18" customHeight="1" x14ac:dyDescent="0.25"/>
    <row r="2087" s="13" customFormat="1" ht="18" customHeight="1" x14ac:dyDescent="0.25"/>
    <row r="2088" s="13" customFormat="1" ht="18" customHeight="1" x14ac:dyDescent="0.25"/>
    <row r="2089" s="13" customFormat="1" ht="18" customHeight="1" x14ac:dyDescent="0.25"/>
    <row r="2090" s="13" customFormat="1" ht="18" customHeight="1" x14ac:dyDescent="0.25"/>
    <row r="2091" s="13" customFormat="1" ht="18" customHeight="1" x14ac:dyDescent="0.25"/>
    <row r="2092" s="13" customFormat="1" ht="18" customHeight="1" x14ac:dyDescent="0.25"/>
    <row r="2093" s="13" customFormat="1" ht="18" customHeight="1" x14ac:dyDescent="0.25"/>
    <row r="2094" s="13" customFormat="1" ht="18" customHeight="1" x14ac:dyDescent="0.25"/>
    <row r="2095" s="13" customFormat="1" ht="18" customHeight="1" x14ac:dyDescent="0.25"/>
    <row r="2096" s="13" customFormat="1" ht="18" customHeight="1" x14ac:dyDescent="0.25"/>
    <row r="2097" s="13" customFormat="1" ht="18" customHeight="1" x14ac:dyDescent="0.25"/>
    <row r="2098" s="13" customFormat="1" ht="18" customHeight="1" x14ac:dyDescent="0.25"/>
    <row r="2099" s="13" customFormat="1" ht="18" customHeight="1" x14ac:dyDescent="0.25"/>
    <row r="2100" s="13" customFormat="1" ht="18" customHeight="1" x14ac:dyDescent="0.25"/>
    <row r="2101" s="13" customFormat="1" ht="18" customHeight="1" x14ac:dyDescent="0.25"/>
    <row r="2102" s="13" customFormat="1" ht="18" customHeight="1" x14ac:dyDescent="0.25"/>
    <row r="2103" s="13" customFormat="1" ht="18" customHeight="1" x14ac:dyDescent="0.25"/>
    <row r="2104" s="13" customFormat="1" ht="18" customHeight="1" x14ac:dyDescent="0.25"/>
    <row r="2105" s="13" customFormat="1" ht="18" customHeight="1" x14ac:dyDescent="0.25"/>
    <row r="2106" s="13" customFormat="1" ht="18" customHeight="1" x14ac:dyDescent="0.25"/>
    <row r="2107" s="13" customFormat="1" ht="18" customHeight="1" x14ac:dyDescent="0.25"/>
    <row r="2108" s="13" customFormat="1" ht="18" customHeight="1" x14ac:dyDescent="0.25"/>
    <row r="2109" s="13" customFormat="1" ht="18" customHeight="1" x14ac:dyDescent="0.25"/>
    <row r="2110" s="13" customFormat="1" ht="18" customHeight="1" x14ac:dyDescent="0.25"/>
    <row r="2111" s="13" customFormat="1" ht="18" customHeight="1" x14ac:dyDescent="0.25"/>
    <row r="2112" s="13" customFormat="1" ht="18" customHeight="1" x14ac:dyDescent="0.25"/>
    <row r="2113" s="13" customFormat="1" ht="18" customHeight="1" x14ac:dyDescent="0.25"/>
    <row r="2114" s="13" customFormat="1" ht="18" customHeight="1" x14ac:dyDescent="0.25"/>
    <row r="2115" s="13" customFormat="1" ht="18" customHeight="1" x14ac:dyDescent="0.25"/>
    <row r="2116" s="13" customFormat="1" ht="18" customHeight="1" x14ac:dyDescent="0.25"/>
    <row r="2117" s="13" customFormat="1" ht="18" customHeight="1" x14ac:dyDescent="0.25"/>
    <row r="2118" s="13" customFormat="1" ht="18" customHeight="1" x14ac:dyDescent="0.25"/>
    <row r="2119" s="13" customFormat="1" ht="18" customHeight="1" x14ac:dyDescent="0.25"/>
    <row r="2120" s="13" customFormat="1" ht="18" customHeight="1" x14ac:dyDescent="0.25"/>
    <row r="2121" s="13" customFormat="1" ht="18" customHeight="1" x14ac:dyDescent="0.25"/>
    <row r="2122" s="13" customFormat="1" ht="18" customHeight="1" x14ac:dyDescent="0.25"/>
    <row r="2123" s="13" customFormat="1" ht="18" customHeight="1" x14ac:dyDescent="0.25"/>
    <row r="2124" s="13" customFormat="1" ht="18" customHeight="1" x14ac:dyDescent="0.25"/>
    <row r="2125" s="13" customFormat="1" ht="18" customHeight="1" x14ac:dyDescent="0.25"/>
    <row r="2126" s="13" customFormat="1" ht="18" customHeight="1" x14ac:dyDescent="0.25"/>
    <row r="2127" s="13" customFormat="1" ht="18" customHeight="1" x14ac:dyDescent="0.25"/>
    <row r="2128" s="13" customFormat="1" ht="18" customHeight="1" x14ac:dyDescent="0.25"/>
    <row r="2129" s="13" customFormat="1" ht="18" customHeight="1" x14ac:dyDescent="0.25"/>
    <row r="2130" s="13" customFormat="1" ht="18" customHeight="1" x14ac:dyDescent="0.25"/>
    <row r="2131" s="13" customFormat="1" ht="18" customHeight="1" x14ac:dyDescent="0.25"/>
    <row r="2132" s="13" customFormat="1" ht="18" customHeight="1" x14ac:dyDescent="0.25"/>
    <row r="2133" s="13" customFormat="1" ht="18" customHeight="1" x14ac:dyDescent="0.25"/>
    <row r="2134" s="13" customFormat="1" ht="18" customHeight="1" x14ac:dyDescent="0.25"/>
    <row r="2135" s="13" customFormat="1" ht="18" customHeight="1" x14ac:dyDescent="0.25"/>
    <row r="2136" s="13" customFormat="1" ht="18" customHeight="1" x14ac:dyDescent="0.25"/>
    <row r="2137" s="13" customFormat="1" ht="18" customHeight="1" x14ac:dyDescent="0.25"/>
    <row r="2138" s="13" customFormat="1" ht="18" customHeight="1" x14ac:dyDescent="0.25"/>
    <row r="2139" s="13" customFormat="1" ht="18" customHeight="1" x14ac:dyDescent="0.25"/>
    <row r="2140" s="13" customFormat="1" ht="18" customHeight="1" x14ac:dyDescent="0.25"/>
    <row r="2141" s="13" customFormat="1" ht="18" customHeight="1" x14ac:dyDescent="0.25"/>
    <row r="2142" s="13" customFormat="1" ht="18" customHeight="1" x14ac:dyDescent="0.25"/>
    <row r="2143" s="13" customFormat="1" ht="18" customHeight="1" x14ac:dyDescent="0.25"/>
    <row r="2144" s="13" customFormat="1" ht="18" customHeight="1" x14ac:dyDescent="0.25"/>
    <row r="2145" s="13" customFormat="1" ht="18" customHeight="1" x14ac:dyDescent="0.25"/>
    <row r="2146" s="13" customFormat="1" ht="18" customHeight="1" x14ac:dyDescent="0.25"/>
    <row r="2147" s="13" customFormat="1" ht="18" customHeight="1" x14ac:dyDescent="0.25"/>
    <row r="2148" s="13" customFormat="1" ht="18" customHeight="1" x14ac:dyDescent="0.25"/>
    <row r="2149" s="13" customFormat="1" ht="18" customHeight="1" x14ac:dyDescent="0.25"/>
    <row r="2150" s="13" customFormat="1" ht="18" customHeight="1" x14ac:dyDescent="0.25"/>
    <row r="2151" s="13" customFormat="1" ht="18" customHeight="1" x14ac:dyDescent="0.25"/>
    <row r="2152" s="13" customFormat="1" ht="18" customHeight="1" x14ac:dyDescent="0.25"/>
    <row r="2153" s="13" customFormat="1" ht="18" customHeight="1" x14ac:dyDescent="0.25"/>
    <row r="2154" s="13" customFormat="1" ht="18" customHeight="1" x14ac:dyDescent="0.25"/>
    <row r="2155" s="13" customFormat="1" ht="18" customHeight="1" x14ac:dyDescent="0.25"/>
    <row r="2156" s="13" customFormat="1" ht="18" customHeight="1" x14ac:dyDescent="0.25"/>
    <row r="2157" s="13" customFormat="1" ht="18" customHeight="1" x14ac:dyDescent="0.25"/>
    <row r="2158" s="13" customFormat="1" ht="18" customHeight="1" x14ac:dyDescent="0.25"/>
    <row r="2159" s="13" customFormat="1" ht="18" customHeight="1" x14ac:dyDescent="0.25"/>
    <row r="2160" s="13" customFormat="1" ht="18" customHeight="1" x14ac:dyDescent="0.25"/>
    <row r="2161" s="13" customFormat="1" ht="18" customHeight="1" x14ac:dyDescent="0.25"/>
    <row r="2162" s="13" customFormat="1" ht="18" customHeight="1" x14ac:dyDescent="0.25"/>
    <row r="2163" s="13" customFormat="1" ht="18" customHeight="1" x14ac:dyDescent="0.25"/>
    <row r="2164" s="13" customFormat="1" ht="18" customHeight="1" x14ac:dyDescent="0.25"/>
    <row r="2165" s="13" customFormat="1" ht="18" customHeight="1" x14ac:dyDescent="0.25"/>
    <row r="2166" s="13" customFormat="1" ht="18" customHeight="1" x14ac:dyDescent="0.25"/>
    <row r="2167" s="13" customFormat="1" ht="18" customHeight="1" x14ac:dyDescent="0.25"/>
    <row r="2168" s="13" customFormat="1" ht="18" customHeight="1" x14ac:dyDescent="0.25"/>
    <row r="2169" s="13" customFormat="1" ht="18" customHeight="1" x14ac:dyDescent="0.25"/>
    <row r="2170" s="13" customFormat="1" ht="18" customHeight="1" x14ac:dyDescent="0.25"/>
    <row r="2171" s="13" customFormat="1" ht="18" customHeight="1" x14ac:dyDescent="0.25"/>
    <row r="2172" s="13" customFormat="1" ht="18" customHeight="1" x14ac:dyDescent="0.25"/>
    <row r="2173" s="13" customFormat="1" ht="18" customHeight="1" x14ac:dyDescent="0.25"/>
    <row r="2174" s="13" customFormat="1" ht="18" customHeight="1" x14ac:dyDescent="0.25"/>
    <row r="2175" s="13" customFormat="1" ht="18" customHeight="1" x14ac:dyDescent="0.25"/>
    <row r="2176" s="13" customFormat="1" ht="18" customHeight="1" x14ac:dyDescent="0.25"/>
    <row r="2177" s="13" customFormat="1" ht="18" customHeight="1" x14ac:dyDescent="0.25"/>
    <row r="2178" s="13" customFormat="1" ht="18" customHeight="1" x14ac:dyDescent="0.25"/>
    <row r="2179" s="13" customFormat="1" ht="18" customHeight="1" x14ac:dyDescent="0.25"/>
    <row r="2180" s="13" customFormat="1" ht="18" customHeight="1" x14ac:dyDescent="0.25"/>
    <row r="2181" s="13" customFormat="1" ht="18" customHeight="1" x14ac:dyDescent="0.25"/>
    <row r="2182" s="13" customFormat="1" ht="18" customHeight="1" x14ac:dyDescent="0.25"/>
    <row r="2183" s="13" customFormat="1" ht="18" customHeight="1" x14ac:dyDescent="0.25"/>
    <row r="2184" s="13" customFormat="1" ht="18" customHeight="1" x14ac:dyDescent="0.25"/>
    <row r="2185" s="13" customFormat="1" ht="18" customHeight="1" x14ac:dyDescent="0.25"/>
    <row r="2186" s="13" customFormat="1" ht="18" customHeight="1" x14ac:dyDescent="0.25"/>
    <row r="2187" s="13" customFormat="1" ht="18" customHeight="1" x14ac:dyDescent="0.25"/>
    <row r="2188" s="13" customFormat="1" ht="18" customHeight="1" x14ac:dyDescent="0.25"/>
    <row r="2189" s="13" customFormat="1" ht="18" customHeight="1" x14ac:dyDescent="0.25"/>
    <row r="2190" s="13" customFormat="1" ht="18" customHeight="1" x14ac:dyDescent="0.25"/>
    <row r="2191" s="13" customFormat="1" ht="18" customHeight="1" x14ac:dyDescent="0.25"/>
    <row r="2192" s="13" customFormat="1" ht="18" customHeight="1" x14ac:dyDescent="0.25"/>
    <row r="2193" s="13" customFormat="1" ht="18" customHeight="1" x14ac:dyDescent="0.25"/>
    <row r="2194" s="13" customFormat="1" ht="18" customHeight="1" x14ac:dyDescent="0.25"/>
    <row r="2195" s="13" customFormat="1" ht="18" customHeight="1" x14ac:dyDescent="0.25"/>
    <row r="2196" s="13" customFormat="1" ht="18" customHeight="1" x14ac:dyDescent="0.25"/>
    <row r="2197" s="13" customFormat="1" ht="18" customHeight="1" x14ac:dyDescent="0.25"/>
    <row r="2198" s="13" customFormat="1" ht="18" customHeight="1" x14ac:dyDescent="0.25"/>
    <row r="2199" s="13" customFormat="1" ht="18" customHeight="1" x14ac:dyDescent="0.25"/>
    <row r="2200" s="13" customFormat="1" ht="18" customHeight="1" x14ac:dyDescent="0.25"/>
    <row r="2201" s="13" customFormat="1" ht="18" customHeight="1" x14ac:dyDescent="0.25"/>
    <row r="2202" s="13" customFormat="1" ht="18" customHeight="1" x14ac:dyDescent="0.25"/>
    <row r="2203" s="13" customFormat="1" ht="18" customHeight="1" x14ac:dyDescent="0.25"/>
    <row r="2204" s="13" customFormat="1" ht="18" customHeight="1" x14ac:dyDescent="0.25"/>
    <row r="2205" s="13" customFormat="1" ht="18" customHeight="1" x14ac:dyDescent="0.25"/>
    <row r="2206" s="13" customFormat="1" ht="18" customHeight="1" x14ac:dyDescent="0.25"/>
    <row r="2207" s="13" customFormat="1" ht="18" customHeight="1" x14ac:dyDescent="0.25"/>
    <row r="2208" s="13" customFormat="1" ht="18" customHeight="1" x14ac:dyDescent="0.25"/>
    <row r="2209" s="13" customFormat="1" ht="18" customHeight="1" x14ac:dyDescent="0.25"/>
    <row r="2210" s="13" customFormat="1" ht="18" customHeight="1" x14ac:dyDescent="0.25"/>
    <row r="2211" s="13" customFormat="1" ht="18" customHeight="1" x14ac:dyDescent="0.25"/>
    <row r="2212" s="13" customFormat="1" ht="18" customHeight="1" x14ac:dyDescent="0.25"/>
    <row r="2213" s="13" customFormat="1" ht="18" customHeight="1" x14ac:dyDescent="0.25"/>
    <row r="2214" s="13" customFormat="1" ht="18" customHeight="1" x14ac:dyDescent="0.25"/>
    <row r="2215" s="13" customFormat="1" ht="18" customHeight="1" x14ac:dyDescent="0.25"/>
    <row r="2216" s="13" customFormat="1" ht="18" customHeight="1" x14ac:dyDescent="0.25"/>
    <row r="2217" s="13" customFormat="1" ht="18" customHeight="1" x14ac:dyDescent="0.25"/>
    <row r="2218" s="13" customFormat="1" ht="18" customHeight="1" x14ac:dyDescent="0.25"/>
    <row r="2219" s="13" customFormat="1" ht="18" customHeight="1" x14ac:dyDescent="0.25"/>
    <row r="2220" s="13" customFormat="1" ht="18" customHeight="1" x14ac:dyDescent="0.25"/>
    <row r="2221" s="13" customFormat="1" ht="18" customHeight="1" x14ac:dyDescent="0.25"/>
    <row r="2222" s="13" customFormat="1" ht="18" customHeight="1" x14ac:dyDescent="0.25"/>
    <row r="2223" s="13" customFormat="1" ht="18" customHeight="1" x14ac:dyDescent="0.25"/>
    <row r="2224" s="13" customFormat="1" ht="18" customHeight="1" x14ac:dyDescent="0.25"/>
    <row r="2225" s="13" customFormat="1" ht="18" customHeight="1" x14ac:dyDescent="0.25"/>
    <row r="2226" s="13" customFormat="1" ht="18" customHeight="1" x14ac:dyDescent="0.25"/>
    <row r="2227" s="13" customFormat="1" ht="18" customHeight="1" x14ac:dyDescent="0.25"/>
    <row r="2228" s="13" customFormat="1" ht="18" customHeight="1" x14ac:dyDescent="0.25"/>
    <row r="2229" s="13" customFormat="1" ht="18" customHeight="1" x14ac:dyDescent="0.25"/>
    <row r="2230" s="13" customFormat="1" ht="18" customHeight="1" x14ac:dyDescent="0.25"/>
    <row r="2231" s="13" customFormat="1" ht="18" customHeight="1" x14ac:dyDescent="0.25"/>
    <row r="2232" s="13" customFormat="1" ht="18" customHeight="1" x14ac:dyDescent="0.25"/>
    <row r="2233" s="13" customFormat="1" ht="18" customHeight="1" x14ac:dyDescent="0.25"/>
    <row r="2234" s="13" customFormat="1" ht="18" customHeight="1" x14ac:dyDescent="0.25"/>
    <row r="2235" s="13" customFormat="1" ht="18" customHeight="1" x14ac:dyDescent="0.25"/>
    <row r="2236" s="13" customFormat="1" ht="18" customHeight="1" x14ac:dyDescent="0.25"/>
    <row r="2237" s="13" customFormat="1" ht="18" customHeight="1" x14ac:dyDescent="0.25"/>
    <row r="2238" s="13" customFormat="1" ht="18" customHeight="1" x14ac:dyDescent="0.25"/>
    <row r="2239" s="13" customFormat="1" ht="18" customHeight="1" x14ac:dyDescent="0.25"/>
    <row r="2240" s="13" customFormat="1" ht="18" customHeight="1" x14ac:dyDescent="0.25"/>
    <row r="2241" s="13" customFormat="1" ht="18" customHeight="1" x14ac:dyDescent="0.25"/>
    <row r="2242" s="13" customFormat="1" ht="18" customHeight="1" x14ac:dyDescent="0.25"/>
    <row r="2243" s="13" customFormat="1" ht="18" customHeight="1" x14ac:dyDescent="0.25"/>
    <row r="2244" s="13" customFormat="1" ht="18" customHeight="1" x14ac:dyDescent="0.25"/>
    <row r="2245" s="13" customFormat="1" ht="18" customHeight="1" x14ac:dyDescent="0.25"/>
    <row r="2246" s="13" customFormat="1" ht="18" customHeight="1" x14ac:dyDescent="0.25"/>
    <row r="2247" s="13" customFormat="1" ht="18" customHeight="1" x14ac:dyDescent="0.25"/>
    <row r="2248" s="13" customFormat="1" ht="18" customHeight="1" x14ac:dyDescent="0.25"/>
    <row r="2249" s="13" customFormat="1" ht="18" customHeight="1" x14ac:dyDescent="0.25"/>
    <row r="2250" s="13" customFormat="1" ht="18" customHeight="1" x14ac:dyDescent="0.25"/>
    <row r="2251" s="13" customFormat="1" ht="18" customHeight="1" x14ac:dyDescent="0.25"/>
    <row r="2252" s="13" customFormat="1" ht="18" customHeight="1" x14ac:dyDescent="0.25"/>
    <row r="2253" s="13" customFormat="1" ht="18" customHeight="1" x14ac:dyDescent="0.25"/>
    <row r="2254" s="13" customFormat="1" ht="18" customHeight="1" x14ac:dyDescent="0.25"/>
    <row r="2255" s="13" customFormat="1" ht="18" customHeight="1" x14ac:dyDescent="0.25"/>
    <row r="2256" s="13" customFormat="1" ht="18" customHeight="1" x14ac:dyDescent="0.25"/>
    <row r="2257" s="13" customFormat="1" ht="18" customHeight="1" x14ac:dyDescent="0.25"/>
    <row r="2258" s="13" customFormat="1" ht="18" customHeight="1" x14ac:dyDescent="0.25"/>
    <row r="2259" s="13" customFormat="1" ht="18" customHeight="1" x14ac:dyDescent="0.25"/>
    <row r="2260" s="13" customFormat="1" ht="18" customHeight="1" x14ac:dyDescent="0.25"/>
    <row r="2261" s="13" customFormat="1" ht="18" customHeight="1" x14ac:dyDescent="0.25"/>
    <row r="2262" s="13" customFormat="1" ht="18" customHeight="1" x14ac:dyDescent="0.25"/>
    <row r="2263" s="13" customFormat="1" ht="18" customHeight="1" x14ac:dyDescent="0.25"/>
    <row r="2264" s="13" customFormat="1" ht="18" customHeight="1" x14ac:dyDescent="0.25"/>
    <row r="2265" s="13" customFormat="1" ht="18" customHeight="1" x14ac:dyDescent="0.25"/>
    <row r="2266" s="13" customFormat="1" ht="18" customHeight="1" x14ac:dyDescent="0.25"/>
    <row r="2267" s="13" customFormat="1" ht="18" customHeight="1" x14ac:dyDescent="0.25"/>
    <row r="2268" s="13" customFormat="1" ht="18" customHeight="1" x14ac:dyDescent="0.25"/>
    <row r="2269" s="13" customFormat="1" ht="18" customHeight="1" x14ac:dyDescent="0.25"/>
    <row r="2270" s="13" customFormat="1" ht="18" customHeight="1" x14ac:dyDescent="0.25"/>
    <row r="2271" s="13" customFormat="1" ht="18" customHeight="1" x14ac:dyDescent="0.25"/>
    <row r="2272" s="13" customFormat="1" ht="18" customHeight="1" x14ac:dyDescent="0.25"/>
    <row r="2273" s="13" customFormat="1" ht="18" customHeight="1" x14ac:dyDescent="0.25"/>
    <row r="2274" s="13" customFormat="1" ht="18" customHeight="1" x14ac:dyDescent="0.25"/>
    <row r="2275" s="13" customFormat="1" ht="18" customHeight="1" x14ac:dyDescent="0.25"/>
    <row r="2276" s="13" customFormat="1" ht="18" customHeight="1" x14ac:dyDescent="0.25"/>
    <row r="2277" s="13" customFormat="1" ht="18" customHeight="1" x14ac:dyDescent="0.25"/>
    <row r="2278" s="13" customFormat="1" ht="18" customHeight="1" x14ac:dyDescent="0.25"/>
    <row r="2279" s="13" customFormat="1" ht="18" customHeight="1" x14ac:dyDescent="0.25"/>
    <row r="2280" s="13" customFormat="1" ht="18" customHeight="1" x14ac:dyDescent="0.25"/>
    <row r="2281" s="13" customFormat="1" ht="18" customHeight="1" x14ac:dyDescent="0.25"/>
    <row r="2282" s="13" customFormat="1" ht="18" customHeight="1" x14ac:dyDescent="0.25"/>
    <row r="2283" s="13" customFormat="1" ht="18" customHeight="1" x14ac:dyDescent="0.25"/>
    <row r="2284" s="13" customFormat="1" ht="18" customHeight="1" x14ac:dyDescent="0.25"/>
    <row r="2285" s="13" customFormat="1" ht="18" customHeight="1" x14ac:dyDescent="0.25"/>
    <row r="2286" s="13" customFormat="1" ht="18" customHeight="1" x14ac:dyDescent="0.25"/>
    <row r="2287" s="13" customFormat="1" ht="18" customHeight="1" x14ac:dyDescent="0.25"/>
    <row r="2288" s="13" customFormat="1" ht="18" customHeight="1" x14ac:dyDescent="0.25"/>
    <row r="2289" s="13" customFormat="1" ht="18" customHeight="1" x14ac:dyDescent="0.25"/>
    <row r="2290" s="13" customFormat="1" ht="18" customHeight="1" x14ac:dyDescent="0.25"/>
    <row r="2291" s="13" customFormat="1" ht="18" customHeight="1" x14ac:dyDescent="0.25"/>
    <row r="2292" s="13" customFormat="1" ht="18" customHeight="1" x14ac:dyDescent="0.25"/>
    <row r="2293" s="13" customFormat="1" ht="18" customHeight="1" x14ac:dyDescent="0.25"/>
    <row r="2294" s="13" customFormat="1" ht="18" customHeight="1" x14ac:dyDescent="0.25"/>
    <row r="2295" s="13" customFormat="1" ht="18" customHeight="1" x14ac:dyDescent="0.25"/>
    <row r="2296" s="13" customFormat="1" ht="18" customHeight="1" x14ac:dyDescent="0.25"/>
    <row r="2297" s="13" customFormat="1" ht="18" customHeight="1" x14ac:dyDescent="0.25"/>
    <row r="2298" s="13" customFormat="1" ht="18" customHeight="1" x14ac:dyDescent="0.25"/>
    <row r="2299" s="13" customFormat="1" ht="18" customHeight="1" x14ac:dyDescent="0.25"/>
    <row r="2300" s="13" customFormat="1" ht="18" customHeight="1" x14ac:dyDescent="0.25"/>
    <row r="2301" s="13" customFormat="1" ht="18" customHeight="1" x14ac:dyDescent="0.25"/>
    <row r="2302" s="13" customFormat="1" ht="18" customHeight="1" x14ac:dyDescent="0.25"/>
    <row r="2303" s="13" customFormat="1" ht="18" customHeight="1" x14ac:dyDescent="0.25"/>
    <row r="2304" s="13" customFormat="1" ht="18" customHeight="1" x14ac:dyDescent="0.25"/>
    <row r="2305" s="13" customFormat="1" ht="18" customHeight="1" x14ac:dyDescent="0.25"/>
    <row r="2306" s="13" customFormat="1" ht="18" customHeight="1" x14ac:dyDescent="0.25"/>
    <row r="2307" s="13" customFormat="1" ht="18" customHeight="1" x14ac:dyDescent="0.25"/>
    <row r="2308" s="13" customFormat="1" ht="18" customHeight="1" x14ac:dyDescent="0.25"/>
    <row r="2309" s="13" customFormat="1" ht="18" customHeight="1" x14ac:dyDescent="0.25"/>
    <row r="2310" s="13" customFormat="1" ht="18" customHeight="1" x14ac:dyDescent="0.25"/>
    <row r="2311" s="13" customFormat="1" ht="18" customHeight="1" x14ac:dyDescent="0.25"/>
    <row r="2312" s="13" customFormat="1" ht="18" customHeight="1" x14ac:dyDescent="0.25"/>
    <row r="2313" s="13" customFormat="1" ht="18" customHeight="1" x14ac:dyDescent="0.25"/>
    <row r="2314" s="13" customFormat="1" ht="18" customHeight="1" x14ac:dyDescent="0.25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>
    <tabColor theme="0"/>
  </sheetPr>
  <dimension ref="A1:D748"/>
  <sheetViews>
    <sheetView showGridLines="0" zoomScale="85" zoomScaleNormal="85" workbookViewId="0">
      <selection activeCell="D27" sqref="D27"/>
    </sheetView>
  </sheetViews>
  <sheetFormatPr defaultRowHeight="15" x14ac:dyDescent="0.25"/>
  <cols>
    <col min="2" max="2" width="15.125" customWidth="1"/>
    <col min="3" max="3" width="15" customWidth="1"/>
  </cols>
  <sheetData>
    <row r="1" spans="1:4" s="13" customFormat="1" ht="17.25" customHeight="1" x14ac:dyDescent="0.25">
      <c r="A1" s="34" t="s">
        <v>1464</v>
      </c>
      <c r="B1" s="34" t="s">
        <v>1471</v>
      </c>
      <c r="C1" s="34" t="s">
        <v>1467</v>
      </c>
      <c r="D1" s="34" t="s">
        <v>1499</v>
      </c>
    </row>
    <row r="2" spans="1:4" s="13" customFormat="1" ht="17.25" customHeight="1" x14ac:dyDescent="0.25">
      <c r="A2" s="13">
        <v>1</v>
      </c>
      <c r="B2" s="13" t="s">
        <v>1429</v>
      </c>
      <c r="C2" s="13" t="s">
        <v>1481</v>
      </c>
      <c r="D2" s="13">
        <v>5</v>
      </c>
    </row>
    <row r="3" spans="1:4" s="13" customFormat="1" ht="17.25" customHeight="1" x14ac:dyDescent="0.25">
      <c r="A3" s="13">
        <v>2</v>
      </c>
      <c r="B3" s="13" t="s">
        <v>1443</v>
      </c>
      <c r="C3" s="13" t="s">
        <v>1491</v>
      </c>
      <c r="D3" s="13">
        <v>3</v>
      </c>
    </row>
    <row r="4" spans="1:4" s="13" customFormat="1" ht="17.25" customHeight="1" x14ac:dyDescent="0.25">
      <c r="A4" s="13">
        <v>3</v>
      </c>
      <c r="C4" s="13" t="s">
        <v>2</v>
      </c>
      <c r="D4" s="13">
        <v>1</v>
      </c>
    </row>
    <row r="5" spans="1:4" s="13" customFormat="1" ht="17.25" customHeight="1" x14ac:dyDescent="0.25">
      <c r="A5" s="13">
        <v>4</v>
      </c>
      <c r="B5" s="13" t="s">
        <v>1340</v>
      </c>
      <c r="C5" s="13" t="s">
        <v>1465</v>
      </c>
      <c r="D5" s="13">
        <v>5</v>
      </c>
    </row>
    <row r="6" spans="1:4" s="13" customFormat="1" ht="17.25" customHeight="1" x14ac:dyDescent="0.25">
      <c r="A6" s="13">
        <v>5</v>
      </c>
      <c r="B6" s="13" t="s">
        <v>654</v>
      </c>
      <c r="C6" s="13" t="s">
        <v>1465</v>
      </c>
      <c r="D6" s="13">
        <v>5</v>
      </c>
    </row>
    <row r="7" spans="1:4" s="13" customFormat="1" ht="17.25" customHeight="1" x14ac:dyDescent="0.25">
      <c r="A7" s="13">
        <v>7</v>
      </c>
      <c r="B7" s="13" t="s">
        <v>1443</v>
      </c>
      <c r="C7" s="13" t="s">
        <v>1491</v>
      </c>
      <c r="D7" s="13">
        <v>3</v>
      </c>
    </row>
    <row r="8" spans="1:4" s="13" customFormat="1" ht="17.25" customHeight="1" x14ac:dyDescent="0.25">
      <c r="A8" s="13">
        <v>8</v>
      </c>
      <c r="C8" s="13" t="s">
        <v>2</v>
      </c>
      <c r="D8" s="13">
        <v>1</v>
      </c>
    </row>
    <row r="9" spans="1:4" s="13" customFormat="1" ht="17.25" customHeight="1" x14ac:dyDescent="0.25">
      <c r="A9" s="13">
        <v>9</v>
      </c>
      <c r="B9" s="13" t="s">
        <v>653</v>
      </c>
      <c r="C9" s="13" t="s">
        <v>1481</v>
      </c>
      <c r="D9" s="13">
        <v>5</v>
      </c>
    </row>
    <row r="10" spans="1:4" s="13" customFormat="1" ht="17.25" customHeight="1" x14ac:dyDescent="0.25">
      <c r="A10" s="13">
        <v>10</v>
      </c>
      <c r="B10" s="13" t="s">
        <v>811</v>
      </c>
      <c r="C10" s="13" t="s">
        <v>1472</v>
      </c>
      <c r="D10" s="13">
        <v>5</v>
      </c>
    </row>
    <row r="11" spans="1:4" s="13" customFormat="1" ht="17.25" customHeight="1" x14ac:dyDescent="0.25">
      <c r="A11" s="13">
        <v>11</v>
      </c>
      <c r="B11" s="13" t="s">
        <v>1488</v>
      </c>
      <c r="C11" s="13" t="s">
        <v>1481</v>
      </c>
      <c r="D11" s="13">
        <v>5</v>
      </c>
    </row>
    <row r="12" spans="1:4" s="13" customFormat="1" ht="17.25" customHeight="1" x14ac:dyDescent="0.25">
      <c r="A12" s="13">
        <v>12</v>
      </c>
      <c r="B12" s="13" t="s">
        <v>1443</v>
      </c>
      <c r="C12" s="13" t="s">
        <v>1491</v>
      </c>
      <c r="D12" s="13">
        <v>3</v>
      </c>
    </row>
    <row r="13" spans="1:4" s="13" customFormat="1" ht="17.25" customHeight="1" x14ac:dyDescent="0.25">
      <c r="A13" s="13">
        <v>13</v>
      </c>
      <c r="C13" s="13" t="s">
        <v>2</v>
      </c>
      <c r="D13" s="13">
        <v>1</v>
      </c>
    </row>
    <row r="14" spans="1:4" s="13" customFormat="1" ht="17.25" customHeight="1" x14ac:dyDescent="0.25">
      <c r="A14" s="13">
        <v>16</v>
      </c>
      <c r="B14" s="13" t="s">
        <v>1428</v>
      </c>
      <c r="C14" s="13" t="s">
        <v>1491</v>
      </c>
      <c r="D14" s="13">
        <v>3</v>
      </c>
    </row>
    <row r="15" spans="1:4" s="13" customFormat="1" ht="17.25" customHeight="1" x14ac:dyDescent="0.25">
      <c r="A15" s="13">
        <v>17</v>
      </c>
      <c r="B15" s="13" t="s">
        <v>639</v>
      </c>
      <c r="C15" s="13" t="s">
        <v>1481</v>
      </c>
      <c r="D15" s="13">
        <v>5</v>
      </c>
    </row>
    <row r="16" spans="1:4" s="13" customFormat="1" ht="17.25" customHeight="1" x14ac:dyDescent="0.25">
      <c r="A16" s="13">
        <v>19</v>
      </c>
      <c r="C16" s="13" t="s">
        <v>2</v>
      </c>
      <c r="D16" s="13">
        <v>1</v>
      </c>
    </row>
    <row r="17" spans="1:4" s="13" customFormat="1" ht="17.25" customHeight="1" x14ac:dyDescent="0.25">
      <c r="A17" s="13">
        <v>21</v>
      </c>
      <c r="B17" s="13" t="s">
        <v>735</v>
      </c>
      <c r="C17" s="13" t="s">
        <v>1491</v>
      </c>
      <c r="D17" s="13">
        <v>3</v>
      </c>
    </row>
    <row r="18" spans="1:4" s="13" customFormat="1" ht="17.25" customHeight="1" x14ac:dyDescent="0.25">
      <c r="A18" s="13">
        <v>23</v>
      </c>
      <c r="B18" s="13" t="s">
        <v>1454</v>
      </c>
      <c r="C18" s="13" t="s">
        <v>1465</v>
      </c>
      <c r="D18" s="13">
        <v>5</v>
      </c>
    </row>
    <row r="19" spans="1:4" s="13" customFormat="1" ht="17.25" customHeight="1" x14ac:dyDescent="0.25">
      <c r="A19" s="13">
        <v>24</v>
      </c>
      <c r="C19" s="13" t="s">
        <v>2</v>
      </c>
      <c r="D19" s="13">
        <v>1</v>
      </c>
    </row>
    <row r="20" spans="1:4" s="13" customFormat="1" ht="17.25" customHeight="1" x14ac:dyDescent="0.25">
      <c r="A20" s="13">
        <v>26</v>
      </c>
      <c r="B20" s="13" t="s">
        <v>735</v>
      </c>
      <c r="C20" s="13" t="s">
        <v>1491</v>
      </c>
      <c r="D20" s="13">
        <v>3</v>
      </c>
    </row>
    <row r="21" spans="1:4" s="13" customFormat="1" ht="17.25" customHeight="1" x14ac:dyDescent="0.25">
      <c r="A21" s="13">
        <v>27</v>
      </c>
      <c r="B21" s="13" t="s">
        <v>1440</v>
      </c>
      <c r="C21" s="13" t="s">
        <v>1481</v>
      </c>
      <c r="D21" s="13">
        <v>5</v>
      </c>
    </row>
    <row r="22" spans="1:4" s="13" customFormat="1" ht="17.25" customHeight="1" x14ac:dyDescent="0.25">
      <c r="A22" s="13">
        <v>28</v>
      </c>
      <c r="B22" s="13" t="s">
        <v>1443</v>
      </c>
      <c r="C22" s="13" t="s">
        <v>1491</v>
      </c>
      <c r="D22" s="13">
        <v>3</v>
      </c>
    </row>
    <row r="23" spans="1:4" s="13" customFormat="1" ht="17.25" customHeight="1" x14ac:dyDescent="0.25">
      <c r="A23" s="13">
        <v>29</v>
      </c>
      <c r="C23" s="13" t="s">
        <v>2</v>
      </c>
      <c r="D23" s="13">
        <v>1</v>
      </c>
    </row>
    <row r="24" spans="1:4" s="13" customFormat="1" ht="17.25" customHeight="1" x14ac:dyDescent="0.25">
      <c r="A24" s="13">
        <v>31</v>
      </c>
      <c r="B24" s="13" t="s">
        <v>1451</v>
      </c>
      <c r="C24" s="13" t="s">
        <v>1472</v>
      </c>
      <c r="D24" s="13">
        <v>5</v>
      </c>
    </row>
    <row r="25" spans="1:4" s="13" customFormat="1" ht="17.25" customHeight="1" x14ac:dyDescent="0.25">
      <c r="A25" s="13">
        <v>33</v>
      </c>
      <c r="C25" s="13" t="s">
        <v>2</v>
      </c>
      <c r="D25" s="13">
        <v>1</v>
      </c>
    </row>
    <row r="26" spans="1:4" s="13" customFormat="1" ht="17.25" customHeight="1" x14ac:dyDescent="0.25">
      <c r="A26" s="13">
        <v>35</v>
      </c>
      <c r="B26" s="13" t="s">
        <v>735</v>
      </c>
      <c r="C26" s="13" t="s">
        <v>1491</v>
      </c>
      <c r="D26" s="13">
        <v>3</v>
      </c>
    </row>
    <row r="27" spans="1:4" s="13" customFormat="1" ht="17.25" customHeight="1" x14ac:dyDescent="0.25">
      <c r="A27" s="13">
        <v>38</v>
      </c>
      <c r="C27" s="13" t="s">
        <v>2</v>
      </c>
      <c r="D27" s="13">
        <v>1</v>
      </c>
    </row>
    <row r="28" spans="1:4" s="13" customFormat="1" ht="17.25" customHeight="1" x14ac:dyDescent="0.25">
      <c r="A28" s="13">
        <v>40</v>
      </c>
      <c r="B28" s="13" t="s">
        <v>735</v>
      </c>
      <c r="C28" s="13" t="s">
        <v>1491</v>
      </c>
      <c r="D28" s="13">
        <v>3</v>
      </c>
    </row>
    <row r="29" spans="1:4" s="13" customFormat="1" ht="17.25" customHeight="1" x14ac:dyDescent="0.25">
      <c r="A29" s="13">
        <v>43</v>
      </c>
      <c r="C29" s="13" t="s">
        <v>2</v>
      </c>
      <c r="D29" s="13">
        <v>1</v>
      </c>
    </row>
    <row r="30" spans="1:4" s="13" customFormat="1" ht="17.25" customHeight="1" x14ac:dyDescent="0.25">
      <c r="A30" s="13">
        <v>45</v>
      </c>
      <c r="B30" s="13" t="s">
        <v>735</v>
      </c>
      <c r="C30" s="13" t="s">
        <v>1491</v>
      </c>
      <c r="D30" s="13">
        <v>3</v>
      </c>
    </row>
    <row r="31" spans="1:4" s="13" customFormat="1" ht="17.25" customHeight="1" x14ac:dyDescent="0.25">
      <c r="A31" s="13">
        <v>47</v>
      </c>
      <c r="B31" s="13" t="s">
        <v>735</v>
      </c>
      <c r="C31" s="13" t="s">
        <v>1491</v>
      </c>
      <c r="D31" s="13">
        <v>3</v>
      </c>
    </row>
    <row r="32" spans="1:4" s="13" customFormat="1" ht="17.25" customHeight="1" x14ac:dyDescent="0.25">
      <c r="A32" s="13">
        <v>48</v>
      </c>
      <c r="C32" s="13" t="s">
        <v>2</v>
      </c>
      <c r="D32" s="13">
        <v>1</v>
      </c>
    </row>
    <row r="33" spans="1:4" s="13" customFormat="1" ht="17.25" customHeight="1" x14ac:dyDescent="0.25">
      <c r="A33" s="13">
        <v>52</v>
      </c>
      <c r="C33" s="13" t="s">
        <v>2</v>
      </c>
      <c r="D33" s="13">
        <v>1</v>
      </c>
    </row>
    <row r="34" spans="1:4" s="13" customFormat="1" ht="17.25" customHeight="1" x14ac:dyDescent="0.25"/>
    <row r="35" spans="1:4" s="13" customFormat="1" ht="17.25" customHeight="1" x14ac:dyDescent="0.25"/>
    <row r="36" spans="1:4" s="13" customFormat="1" ht="17.25" customHeight="1" x14ac:dyDescent="0.25"/>
    <row r="37" spans="1:4" s="13" customFormat="1" ht="17.25" customHeight="1" x14ac:dyDescent="0.25"/>
    <row r="38" spans="1:4" s="13" customFormat="1" ht="17.25" customHeight="1" x14ac:dyDescent="0.25"/>
    <row r="39" spans="1:4" s="13" customFormat="1" ht="17.25" customHeight="1" x14ac:dyDescent="0.25"/>
    <row r="40" spans="1:4" s="13" customFormat="1" ht="17.25" customHeight="1" x14ac:dyDescent="0.25"/>
    <row r="41" spans="1:4" s="13" customFormat="1" ht="17.25" customHeight="1" x14ac:dyDescent="0.25"/>
    <row r="42" spans="1:4" s="13" customFormat="1" ht="17.25" customHeight="1" x14ac:dyDescent="0.25"/>
    <row r="43" spans="1:4" s="13" customFormat="1" ht="17.25" customHeight="1" x14ac:dyDescent="0.25"/>
    <row r="44" spans="1:4" s="13" customFormat="1" ht="17.25" customHeight="1" x14ac:dyDescent="0.25"/>
    <row r="45" spans="1:4" s="13" customFormat="1" ht="17.25" customHeight="1" x14ac:dyDescent="0.25"/>
    <row r="46" spans="1:4" s="13" customFormat="1" ht="17.25" customHeight="1" x14ac:dyDescent="0.25"/>
    <row r="47" spans="1:4" s="13" customFormat="1" ht="17.25" customHeight="1" x14ac:dyDescent="0.25"/>
    <row r="48" spans="1:4" s="13" customFormat="1" ht="17.25" customHeight="1" x14ac:dyDescent="0.25"/>
    <row r="49" s="13" customFormat="1" ht="17.25" customHeight="1" x14ac:dyDescent="0.25"/>
    <row r="50" s="13" customFormat="1" ht="17.25" customHeight="1" x14ac:dyDescent="0.25"/>
    <row r="51" s="13" customFormat="1" ht="17.25" customHeight="1" x14ac:dyDescent="0.25"/>
    <row r="52" s="13" customFormat="1" ht="17.25" customHeight="1" x14ac:dyDescent="0.25"/>
    <row r="53" s="13" customFormat="1" ht="17.25" customHeight="1" x14ac:dyDescent="0.25"/>
    <row r="54" s="13" customFormat="1" ht="17.25" customHeight="1" x14ac:dyDescent="0.25"/>
    <row r="55" s="13" customFormat="1" ht="17.25" customHeight="1" x14ac:dyDescent="0.25"/>
    <row r="56" s="13" customFormat="1" ht="17.25" customHeight="1" x14ac:dyDescent="0.25"/>
    <row r="57" s="13" customFormat="1" ht="17.25" customHeight="1" x14ac:dyDescent="0.25"/>
    <row r="58" s="13" customFormat="1" ht="17.25" customHeight="1" x14ac:dyDescent="0.25"/>
    <row r="59" s="13" customFormat="1" ht="17.25" customHeight="1" x14ac:dyDescent="0.25"/>
    <row r="60" s="13" customFormat="1" ht="17.25" customHeight="1" x14ac:dyDescent="0.25"/>
    <row r="61" s="13" customFormat="1" ht="17.25" customHeight="1" x14ac:dyDescent="0.25"/>
    <row r="62" s="13" customFormat="1" ht="17.25" customHeight="1" x14ac:dyDescent="0.25"/>
    <row r="63" s="13" customFormat="1" ht="17.25" customHeight="1" x14ac:dyDescent="0.25"/>
    <row r="64" s="13" customFormat="1" ht="17.25" customHeight="1" x14ac:dyDescent="0.25"/>
    <row r="65" s="13" customFormat="1" ht="17.25" customHeight="1" x14ac:dyDescent="0.25"/>
    <row r="66" s="13" customFormat="1" ht="17.25" customHeight="1" x14ac:dyDescent="0.25"/>
    <row r="67" s="13" customFormat="1" ht="17.25" customHeight="1" x14ac:dyDescent="0.25"/>
    <row r="68" s="13" customFormat="1" ht="17.25" customHeight="1" x14ac:dyDescent="0.25"/>
    <row r="69" s="13" customFormat="1" ht="17.25" customHeight="1" x14ac:dyDescent="0.25"/>
    <row r="70" s="13" customFormat="1" ht="17.25" customHeight="1" x14ac:dyDescent="0.25"/>
    <row r="71" s="13" customFormat="1" ht="17.25" customHeight="1" x14ac:dyDescent="0.25"/>
    <row r="72" s="13" customFormat="1" ht="17.25" customHeight="1" x14ac:dyDescent="0.25"/>
    <row r="73" s="13" customFormat="1" ht="17.25" customHeight="1" x14ac:dyDescent="0.25"/>
    <row r="74" s="13" customFormat="1" ht="17.25" customHeight="1" x14ac:dyDescent="0.25"/>
    <row r="75" s="13" customFormat="1" ht="17.25" customHeight="1" x14ac:dyDescent="0.25"/>
    <row r="76" s="13" customFormat="1" ht="17.25" customHeight="1" x14ac:dyDescent="0.25"/>
    <row r="77" s="13" customFormat="1" ht="17.25" customHeight="1" x14ac:dyDescent="0.25"/>
    <row r="78" s="13" customFormat="1" ht="17.25" customHeight="1" x14ac:dyDescent="0.25"/>
    <row r="79" s="13" customFormat="1" ht="17.25" customHeight="1" x14ac:dyDescent="0.25"/>
    <row r="80" s="13" customFormat="1" ht="17.25" customHeight="1" x14ac:dyDescent="0.25"/>
    <row r="81" s="13" customFormat="1" ht="17.25" customHeight="1" x14ac:dyDescent="0.25"/>
    <row r="82" s="13" customFormat="1" ht="17.25" customHeight="1" x14ac:dyDescent="0.25"/>
    <row r="83" s="13" customFormat="1" ht="17.25" customHeight="1" x14ac:dyDescent="0.25"/>
    <row r="84" s="13" customFormat="1" ht="17.25" customHeight="1" x14ac:dyDescent="0.25"/>
    <row r="85" s="13" customFormat="1" ht="17.25" customHeight="1" x14ac:dyDescent="0.25"/>
    <row r="86" s="13" customFormat="1" ht="17.25" customHeight="1" x14ac:dyDescent="0.25"/>
    <row r="87" s="13" customFormat="1" ht="17.25" customHeight="1" x14ac:dyDescent="0.25"/>
    <row r="88" s="13" customFormat="1" ht="17.25" customHeight="1" x14ac:dyDescent="0.25"/>
    <row r="89" s="13" customFormat="1" ht="17.25" customHeight="1" x14ac:dyDescent="0.25"/>
    <row r="90" s="13" customFormat="1" ht="17.25" customHeight="1" x14ac:dyDescent="0.25"/>
    <row r="91" s="13" customFormat="1" ht="17.25" customHeight="1" x14ac:dyDescent="0.25"/>
    <row r="92" s="13" customFormat="1" ht="17.25" customHeight="1" x14ac:dyDescent="0.25"/>
    <row r="93" s="13" customFormat="1" ht="17.25" customHeight="1" x14ac:dyDescent="0.25"/>
    <row r="94" s="13" customFormat="1" ht="17.25" customHeight="1" x14ac:dyDescent="0.25"/>
    <row r="95" s="13" customFormat="1" ht="17.25" customHeight="1" x14ac:dyDescent="0.25"/>
    <row r="96" s="13" customFormat="1" ht="17.25" customHeight="1" x14ac:dyDescent="0.25"/>
    <row r="97" s="13" customFormat="1" ht="17.25" customHeight="1" x14ac:dyDescent="0.25"/>
    <row r="98" s="13" customFormat="1" ht="17.25" customHeight="1" x14ac:dyDescent="0.25"/>
    <row r="99" s="13" customFormat="1" ht="17.25" customHeight="1" x14ac:dyDescent="0.25"/>
    <row r="100" s="13" customFormat="1" ht="17.25" customHeight="1" x14ac:dyDescent="0.25"/>
    <row r="101" s="13" customFormat="1" ht="17.25" customHeight="1" x14ac:dyDescent="0.25"/>
    <row r="102" s="13" customFormat="1" ht="17.25" customHeight="1" x14ac:dyDescent="0.25"/>
    <row r="103" s="13" customFormat="1" ht="17.25" customHeight="1" x14ac:dyDescent="0.25"/>
    <row r="104" s="13" customFormat="1" ht="17.25" customHeight="1" x14ac:dyDescent="0.25"/>
    <row r="105" s="13" customFormat="1" ht="17.25" customHeight="1" x14ac:dyDescent="0.25"/>
    <row r="106" s="13" customFormat="1" ht="17.25" customHeight="1" x14ac:dyDescent="0.25"/>
    <row r="107" s="13" customFormat="1" ht="17.25" customHeight="1" x14ac:dyDescent="0.25"/>
    <row r="108" s="13" customFormat="1" ht="17.25" customHeight="1" x14ac:dyDescent="0.25"/>
    <row r="109" s="13" customFormat="1" ht="17.25" customHeight="1" x14ac:dyDescent="0.25"/>
    <row r="110" s="13" customFormat="1" ht="17.25" customHeight="1" x14ac:dyDescent="0.25"/>
    <row r="111" s="13" customFormat="1" ht="17.25" customHeight="1" x14ac:dyDescent="0.25"/>
    <row r="112" s="13" customFormat="1" ht="17.25" customHeight="1" x14ac:dyDescent="0.25"/>
    <row r="113" s="13" customFormat="1" ht="17.25" customHeight="1" x14ac:dyDescent="0.25"/>
    <row r="114" s="13" customFormat="1" ht="17.25" customHeight="1" x14ac:dyDescent="0.25"/>
    <row r="115" s="13" customFormat="1" ht="17.25" customHeight="1" x14ac:dyDescent="0.25"/>
    <row r="116" s="13" customFormat="1" ht="17.25" customHeight="1" x14ac:dyDescent="0.25"/>
    <row r="117" s="13" customFormat="1" ht="17.25" customHeight="1" x14ac:dyDescent="0.25"/>
    <row r="118" s="13" customFormat="1" ht="17.25" customHeight="1" x14ac:dyDescent="0.25"/>
    <row r="119" s="13" customFormat="1" ht="17.25" customHeight="1" x14ac:dyDescent="0.25"/>
    <row r="120" s="13" customFormat="1" ht="17.25" customHeight="1" x14ac:dyDescent="0.25"/>
    <row r="121" s="13" customFormat="1" ht="17.25" customHeight="1" x14ac:dyDescent="0.25"/>
    <row r="122" s="13" customFormat="1" ht="17.25" customHeight="1" x14ac:dyDescent="0.25"/>
    <row r="123" s="13" customFormat="1" ht="17.25" customHeight="1" x14ac:dyDescent="0.25"/>
    <row r="124" s="13" customFormat="1" ht="17.25" customHeight="1" x14ac:dyDescent="0.25"/>
    <row r="125" s="13" customFormat="1" ht="17.25" customHeight="1" x14ac:dyDescent="0.25"/>
    <row r="126" s="13" customFormat="1" ht="17.25" customHeight="1" x14ac:dyDescent="0.25"/>
    <row r="127" s="13" customFormat="1" ht="17.25" customHeight="1" x14ac:dyDescent="0.25"/>
    <row r="128" s="13" customFormat="1" ht="17.25" customHeight="1" x14ac:dyDescent="0.25"/>
    <row r="129" s="13" customFormat="1" ht="17.25" customHeight="1" x14ac:dyDescent="0.25"/>
    <row r="130" s="13" customFormat="1" ht="17.25" customHeight="1" x14ac:dyDescent="0.25"/>
    <row r="131" s="13" customFormat="1" ht="17.25" customHeight="1" x14ac:dyDescent="0.25"/>
    <row r="132" s="13" customFormat="1" ht="17.25" customHeight="1" x14ac:dyDescent="0.25"/>
    <row r="133" s="13" customFormat="1" ht="17.25" customHeight="1" x14ac:dyDescent="0.25"/>
    <row r="134" s="13" customFormat="1" ht="17.25" customHeight="1" x14ac:dyDescent="0.25"/>
    <row r="135" s="13" customFormat="1" ht="17.25" customHeight="1" x14ac:dyDescent="0.25"/>
    <row r="136" s="13" customFormat="1" ht="17.25" customHeight="1" x14ac:dyDescent="0.25"/>
    <row r="137" s="13" customFormat="1" ht="17.25" customHeight="1" x14ac:dyDescent="0.25"/>
    <row r="138" s="13" customFormat="1" ht="17.25" customHeight="1" x14ac:dyDescent="0.25"/>
    <row r="139" s="13" customFormat="1" ht="17.25" customHeight="1" x14ac:dyDescent="0.25"/>
    <row r="140" s="13" customFormat="1" ht="17.25" customHeight="1" x14ac:dyDescent="0.25"/>
    <row r="141" s="13" customFormat="1" ht="17.25" customHeight="1" x14ac:dyDescent="0.25"/>
    <row r="142" s="13" customFormat="1" ht="17.25" customHeight="1" x14ac:dyDescent="0.25"/>
    <row r="143" s="13" customFormat="1" ht="17.25" customHeight="1" x14ac:dyDescent="0.25"/>
    <row r="144" s="13" customFormat="1" ht="17.25" customHeight="1" x14ac:dyDescent="0.25"/>
    <row r="145" s="13" customFormat="1" ht="17.25" customHeight="1" x14ac:dyDescent="0.25"/>
    <row r="146" s="13" customFormat="1" ht="17.25" customHeight="1" x14ac:dyDescent="0.25"/>
    <row r="147" s="13" customFormat="1" ht="17.25" customHeight="1" x14ac:dyDescent="0.25"/>
    <row r="148" s="13" customFormat="1" ht="17.25" customHeight="1" x14ac:dyDescent="0.25"/>
    <row r="149" s="13" customFormat="1" ht="17.25" customHeight="1" x14ac:dyDescent="0.25"/>
    <row r="150" s="13" customFormat="1" ht="17.25" customHeight="1" x14ac:dyDescent="0.25"/>
    <row r="151" s="13" customFormat="1" ht="17.25" customHeight="1" x14ac:dyDescent="0.25"/>
    <row r="152" s="13" customFormat="1" ht="17.25" customHeight="1" x14ac:dyDescent="0.25"/>
    <row r="153" s="13" customFormat="1" ht="17.25" customHeight="1" x14ac:dyDescent="0.25"/>
    <row r="154" s="13" customFormat="1" ht="17.25" customHeight="1" x14ac:dyDescent="0.25"/>
    <row r="155" s="13" customFormat="1" ht="17.25" customHeight="1" x14ac:dyDescent="0.25"/>
    <row r="156" s="13" customFormat="1" ht="17.25" customHeight="1" x14ac:dyDescent="0.25"/>
    <row r="157" s="13" customFormat="1" ht="17.25" customHeight="1" x14ac:dyDescent="0.25"/>
    <row r="158" s="13" customFormat="1" ht="17.25" customHeight="1" x14ac:dyDescent="0.25"/>
    <row r="159" s="13" customFormat="1" ht="17.25" customHeight="1" x14ac:dyDescent="0.25"/>
    <row r="160" s="13" customFormat="1" ht="17.25" customHeight="1" x14ac:dyDescent="0.25"/>
    <row r="161" s="13" customFormat="1" ht="17.25" customHeight="1" x14ac:dyDescent="0.25"/>
    <row r="162" s="13" customFormat="1" ht="17.25" customHeight="1" x14ac:dyDescent="0.25"/>
    <row r="163" s="13" customFormat="1" ht="17.25" customHeight="1" x14ac:dyDescent="0.25"/>
    <row r="164" s="13" customFormat="1" ht="17.25" customHeight="1" x14ac:dyDescent="0.25"/>
    <row r="165" s="13" customFormat="1" ht="17.25" customHeight="1" x14ac:dyDescent="0.25"/>
    <row r="166" s="13" customFormat="1" ht="17.25" customHeight="1" x14ac:dyDescent="0.25"/>
    <row r="167" s="13" customFormat="1" ht="17.25" customHeight="1" x14ac:dyDescent="0.25"/>
    <row r="168" s="13" customFormat="1" ht="17.25" customHeight="1" x14ac:dyDescent="0.25"/>
    <row r="169" s="13" customFormat="1" ht="17.25" customHeight="1" x14ac:dyDescent="0.25"/>
    <row r="170" s="13" customFormat="1" ht="17.25" customHeight="1" x14ac:dyDescent="0.25"/>
    <row r="171" s="13" customFormat="1" ht="17.25" customHeight="1" x14ac:dyDescent="0.25"/>
    <row r="172" s="13" customFormat="1" ht="17.25" customHeight="1" x14ac:dyDescent="0.25"/>
    <row r="173" s="13" customFormat="1" ht="17.25" customHeight="1" x14ac:dyDescent="0.25"/>
    <row r="174" s="13" customFormat="1" ht="17.25" customHeight="1" x14ac:dyDescent="0.25"/>
    <row r="175" s="13" customFormat="1" ht="17.25" customHeight="1" x14ac:dyDescent="0.25"/>
    <row r="176" s="13" customFormat="1" ht="17.25" customHeight="1" x14ac:dyDescent="0.25"/>
    <row r="177" s="13" customFormat="1" ht="17.25" customHeight="1" x14ac:dyDescent="0.25"/>
    <row r="178" s="13" customFormat="1" ht="17.25" customHeight="1" x14ac:dyDescent="0.25"/>
    <row r="179" s="13" customFormat="1" ht="17.25" customHeight="1" x14ac:dyDescent="0.25"/>
    <row r="180" s="13" customFormat="1" ht="17.25" customHeight="1" x14ac:dyDescent="0.25"/>
    <row r="181" s="13" customFormat="1" ht="17.25" customHeight="1" x14ac:dyDescent="0.25"/>
    <row r="182" s="13" customFormat="1" ht="17.25" customHeight="1" x14ac:dyDescent="0.25"/>
    <row r="183" s="13" customFormat="1" ht="17.25" customHeight="1" x14ac:dyDescent="0.25"/>
    <row r="184" s="13" customFormat="1" ht="17.25" customHeight="1" x14ac:dyDescent="0.25"/>
    <row r="185" s="13" customFormat="1" ht="17.25" customHeight="1" x14ac:dyDescent="0.25"/>
    <row r="186" s="13" customFormat="1" ht="17.25" customHeight="1" x14ac:dyDescent="0.25"/>
    <row r="187" s="13" customFormat="1" ht="17.25" customHeight="1" x14ac:dyDescent="0.25"/>
    <row r="188" s="13" customFormat="1" ht="17.25" customHeight="1" x14ac:dyDescent="0.25"/>
    <row r="189" s="13" customFormat="1" ht="17.25" customHeight="1" x14ac:dyDescent="0.25"/>
    <row r="190" s="13" customFormat="1" ht="17.25" customHeight="1" x14ac:dyDescent="0.25"/>
    <row r="191" s="13" customFormat="1" ht="17.25" customHeight="1" x14ac:dyDescent="0.25"/>
    <row r="192" s="13" customFormat="1" ht="17.25" customHeight="1" x14ac:dyDescent="0.25"/>
    <row r="193" s="13" customFormat="1" ht="17.25" customHeight="1" x14ac:dyDescent="0.25"/>
    <row r="194" s="13" customFormat="1" ht="17.25" customHeight="1" x14ac:dyDescent="0.25"/>
    <row r="195" s="13" customFormat="1" ht="17.25" customHeight="1" x14ac:dyDescent="0.25"/>
    <row r="196" s="13" customFormat="1" ht="17.25" customHeight="1" x14ac:dyDescent="0.25"/>
    <row r="197" s="13" customFormat="1" ht="17.25" customHeight="1" x14ac:dyDescent="0.25"/>
    <row r="198" s="13" customFormat="1" ht="17.25" customHeight="1" x14ac:dyDescent="0.25"/>
    <row r="199" s="13" customFormat="1" ht="17.25" customHeight="1" x14ac:dyDescent="0.25"/>
    <row r="200" s="13" customFormat="1" ht="17.25" customHeight="1" x14ac:dyDescent="0.25"/>
    <row r="201" s="13" customFormat="1" ht="17.25" customHeight="1" x14ac:dyDescent="0.25"/>
    <row r="202" s="13" customFormat="1" ht="17.25" customHeight="1" x14ac:dyDescent="0.25"/>
    <row r="203" s="13" customFormat="1" ht="17.25" customHeight="1" x14ac:dyDescent="0.25"/>
    <row r="204" s="13" customFormat="1" ht="17.25" customHeight="1" x14ac:dyDescent="0.25"/>
    <row r="205" s="13" customFormat="1" ht="17.25" customHeight="1" x14ac:dyDescent="0.25"/>
    <row r="206" s="13" customFormat="1" ht="17.25" customHeight="1" x14ac:dyDescent="0.25"/>
    <row r="207" s="13" customFormat="1" ht="17.25" customHeight="1" x14ac:dyDescent="0.25"/>
    <row r="208" s="13" customFormat="1" ht="17.25" customHeight="1" x14ac:dyDescent="0.25"/>
    <row r="209" s="13" customFormat="1" ht="17.25" customHeight="1" x14ac:dyDescent="0.25"/>
    <row r="210" s="13" customFormat="1" ht="17.25" customHeight="1" x14ac:dyDescent="0.25"/>
    <row r="211" s="13" customFormat="1" ht="17.25" customHeight="1" x14ac:dyDescent="0.25"/>
    <row r="212" s="13" customFormat="1" ht="17.25" customHeight="1" x14ac:dyDescent="0.25"/>
    <row r="213" s="13" customFormat="1" ht="17.25" customHeight="1" x14ac:dyDescent="0.25"/>
    <row r="214" s="13" customFormat="1" ht="17.25" customHeight="1" x14ac:dyDescent="0.25"/>
    <row r="215" s="13" customFormat="1" ht="17.25" customHeight="1" x14ac:dyDescent="0.25"/>
    <row r="216" s="13" customFormat="1" ht="17.25" customHeight="1" x14ac:dyDescent="0.25"/>
    <row r="217" s="13" customFormat="1" ht="17.25" customHeight="1" x14ac:dyDescent="0.25"/>
    <row r="218" s="13" customFormat="1" ht="17.25" customHeight="1" x14ac:dyDescent="0.25"/>
    <row r="219" s="13" customFormat="1" ht="17.25" customHeight="1" x14ac:dyDescent="0.25"/>
    <row r="220" s="13" customFormat="1" ht="17.25" customHeight="1" x14ac:dyDescent="0.25"/>
    <row r="221" s="13" customFormat="1" ht="17.25" customHeight="1" x14ac:dyDescent="0.25"/>
    <row r="222" s="13" customFormat="1" ht="17.25" customHeight="1" x14ac:dyDescent="0.25"/>
    <row r="223" s="13" customFormat="1" ht="17.25" customHeight="1" x14ac:dyDescent="0.25"/>
    <row r="224" s="13" customFormat="1" ht="17.25" customHeight="1" x14ac:dyDescent="0.25"/>
    <row r="225" s="13" customFormat="1" ht="17.25" customHeight="1" x14ac:dyDescent="0.25"/>
    <row r="226" s="13" customFormat="1" ht="17.25" customHeight="1" x14ac:dyDescent="0.25"/>
    <row r="227" s="13" customFormat="1" ht="17.25" customHeight="1" x14ac:dyDescent="0.25"/>
    <row r="228" s="13" customFormat="1" ht="17.25" customHeight="1" x14ac:dyDescent="0.25"/>
    <row r="229" s="13" customFormat="1" ht="17.25" customHeight="1" x14ac:dyDescent="0.25"/>
    <row r="230" s="13" customFormat="1" ht="17.25" customHeight="1" x14ac:dyDescent="0.25"/>
    <row r="231" s="13" customFormat="1" ht="17.25" customHeight="1" x14ac:dyDescent="0.25"/>
    <row r="232" s="13" customFormat="1" ht="17.25" customHeight="1" x14ac:dyDescent="0.25"/>
    <row r="233" s="13" customFormat="1" ht="17.25" customHeight="1" x14ac:dyDescent="0.25"/>
    <row r="234" s="13" customFormat="1" ht="17.25" customHeight="1" x14ac:dyDescent="0.25"/>
    <row r="235" s="13" customFormat="1" ht="17.25" customHeight="1" x14ac:dyDescent="0.25"/>
    <row r="236" s="13" customFormat="1" ht="17.25" customHeight="1" x14ac:dyDescent="0.25"/>
    <row r="237" s="13" customFormat="1" ht="17.25" customHeight="1" x14ac:dyDescent="0.25"/>
    <row r="238" s="13" customFormat="1" ht="17.25" customHeight="1" x14ac:dyDescent="0.25"/>
    <row r="239" s="13" customFormat="1" ht="17.25" customHeight="1" x14ac:dyDescent="0.25"/>
    <row r="240" s="13" customFormat="1" ht="17.25" customHeight="1" x14ac:dyDescent="0.25"/>
    <row r="241" s="13" customFormat="1" ht="17.25" customHeight="1" x14ac:dyDescent="0.25"/>
    <row r="242" s="13" customFormat="1" ht="17.25" customHeight="1" x14ac:dyDescent="0.25"/>
    <row r="243" s="13" customFormat="1" ht="17.25" customHeight="1" x14ac:dyDescent="0.25"/>
    <row r="244" s="13" customFormat="1" ht="17.25" customHeight="1" x14ac:dyDescent="0.25"/>
    <row r="245" s="13" customFormat="1" ht="17.25" customHeight="1" x14ac:dyDescent="0.25"/>
    <row r="246" s="13" customFormat="1" ht="17.25" customHeight="1" x14ac:dyDescent="0.25"/>
    <row r="247" s="13" customFormat="1" ht="17.25" customHeight="1" x14ac:dyDescent="0.25"/>
    <row r="248" s="13" customFormat="1" ht="17.25" customHeight="1" x14ac:dyDescent="0.25"/>
    <row r="249" s="13" customFormat="1" ht="17.25" customHeight="1" x14ac:dyDescent="0.25"/>
    <row r="250" s="13" customFormat="1" ht="17.25" customHeight="1" x14ac:dyDescent="0.25"/>
    <row r="251" s="13" customFormat="1" ht="17.25" customHeight="1" x14ac:dyDescent="0.25"/>
    <row r="252" s="13" customFormat="1" ht="17.25" customHeight="1" x14ac:dyDescent="0.25"/>
    <row r="253" s="13" customFormat="1" ht="17.25" customHeight="1" x14ac:dyDescent="0.25"/>
    <row r="254" s="13" customFormat="1" ht="17.25" customHeight="1" x14ac:dyDescent="0.25"/>
    <row r="255" s="13" customFormat="1" ht="17.25" customHeight="1" x14ac:dyDescent="0.25"/>
    <row r="256" s="13" customFormat="1" ht="17.25" customHeight="1" x14ac:dyDescent="0.25"/>
    <row r="257" s="13" customFormat="1" ht="17.25" customHeight="1" x14ac:dyDescent="0.25"/>
    <row r="258" s="13" customFormat="1" ht="17.25" customHeight="1" x14ac:dyDescent="0.25"/>
    <row r="259" s="13" customFormat="1" ht="17.25" customHeight="1" x14ac:dyDescent="0.25"/>
    <row r="260" s="13" customFormat="1" ht="17.25" customHeight="1" x14ac:dyDescent="0.25"/>
    <row r="261" s="13" customFormat="1" ht="17.25" customHeight="1" x14ac:dyDescent="0.25"/>
    <row r="262" s="13" customFormat="1" ht="17.25" customHeight="1" x14ac:dyDescent="0.25"/>
    <row r="263" s="13" customFormat="1" ht="17.25" customHeight="1" x14ac:dyDescent="0.25"/>
    <row r="264" s="13" customFormat="1" ht="17.25" customHeight="1" x14ac:dyDescent="0.25"/>
    <row r="265" s="13" customFormat="1" ht="17.25" customHeight="1" x14ac:dyDescent="0.25"/>
    <row r="266" s="13" customFormat="1" ht="17.25" customHeight="1" x14ac:dyDescent="0.25"/>
    <row r="267" s="13" customFormat="1" ht="17.25" customHeight="1" x14ac:dyDescent="0.25"/>
    <row r="268" s="13" customFormat="1" ht="17.25" customHeight="1" x14ac:dyDescent="0.25"/>
    <row r="269" s="13" customFormat="1" ht="17.25" customHeight="1" x14ac:dyDescent="0.25"/>
    <row r="270" s="13" customFormat="1" ht="17.25" customHeight="1" x14ac:dyDescent="0.25"/>
    <row r="271" s="13" customFormat="1" ht="17.25" customHeight="1" x14ac:dyDescent="0.25"/>
    <row r="272" s="13" customFormat="1" ht="17.25" customHeight="1" x14ac:dyDescent="0.25"/>
    <row r="273" s="13" customFormat="1" ht="17.25" customHeight="1" x14ac:dyDescent="0.25"/>
    <row r="274" s="13" customFormat="1" ht="17.25" customHeight="1" x14ac:dyDescent="0.25"/>
    <row r="275" s="13" customFormat="1" ht="17.25" customHeight="1" x14ac:dyDescent="0.25"/>
    <row r="276" s="13" customFormat="1" ht="17.25" customHeight="1" x14ac:dyDescent="0.25"/>
    <row r="277" s="13" customFormat="1" ht="17.25" customHeight="1" x14ac:dyDescent="0.25"/>
    <row r="278" s="13" customFormat="1" ht="17.25" customHeight="1" x14ac:dyDescent="0.25"/>
    <row r="279" s="13" customFormat="1" ht="17.25" customHeight="1" x14ac:dyDescent="0.25"/>
    <row r="280" s="13" customFormat="1" ht="17.25" customHeight="1" x14ac:dyDescent="0.25"/>
    <row r="281" s="13" customFormat="1" ht="17.25" customHeight="1" x14ac:dyDescent="0.25"/>
    <row r="282" s="13" customFormat="1" ht="17.25" customHeight="1" x14ac:dyDescent="0.25"/>
    <row r="283" s="13" customFormat="1" ht="17.25" customHeight="1" x14ac:dyDescent="0.25"/>
    <row r="284" s="13" customFormat="1" ht="17.25" customHeight="1" x14ac:dyDescent="0.25"/>
    <row r="285" s="13" customFormat="1" ht="17.25" customHeight="1" x14ac:dyDescent="0.25"/>
    <row r="286" s="13" customFormat="1" ht="17.25" customHeight="1" x14ac:dyDescent="0.25"/>
    <row r="287" s="13" customFormat="1" ht="17.25" customHeight="1" x14ac:dyDescent="0.25"/>
    <row r="288" s="13" customFormat="1" ht="17.25" customHeight="1" x14ac:dyDescent="0.25"/>
    <row r="289" s="13" customFormat="1" ht="17.25" customHeight="1" x14ac:dyDescent="0.25"/>
    <row r="290" s="13" customFormat="1" ht="17.25" customHeight="1" x14ac:dyDescent="0.25"/>
    <row r="291" s="13" customFormat="1" ht="17.25" customHeight="1" x14ac:dyDescent="0.25"/>
    <row r="292" s="13" customFormat="1" ht="17.25" customHeight="1" x14ac:dyDescent="0.25"/>
    <row r="293" s="13" customFormat="1" ht="17.25" customHeight="1" x14ac:dyDescent="0.25"/>
    <row r="294" s="13" customFormat="1" ht="17.25" customHeight="1" x14ac:dyDescent="0.25"/>
    <row r="295" s="13" customFormat="1" ht="17.25" customHeight="1" x14ac:dyDescent="0.25"/>
    <row r="296" s="13" customFormat="1" ht="17.25" customHeight="1" x14ac:dyDescent="0.25"/>
    <row r="297" s="13" customFormat="1" ht="17.25" customHeight="1" x14ac:dyDescent="0.25"/>
    <row r="298" s="13" customFormat="1" ht="17.25" customHeight="1" x14ac:dyDescent="0.25"/>
    <row r="299" s="13" customFormat="1" ht="17.25" customHeight="1" x14ac:dyDescent="0.25"/>
    <row r="300" s="13" customFormat="1" ht="17.25" customHeight="1" x14ac:dyDescent="0.25"/>
    <row r="301" s="13" customFormat="1" ht="17.25" customHeight="1" x14ac:dyDescent="0.25"/>
    <row r="302" s="13" customFormat="1" ht="17.25" customHeight="1" x14ac:dyDescent="0.25"/>
    <row r="303" s="13" customFormat="1" ht="17.25" customHeight="1" x14ac:dyDescent="0.25"/>
    <row r="304" s="13" customFormat="1" ht="17.25" customHeight="1" x14ac:dyDescent="0.25"/>
    <row r="305" s="13" customFormat="1" ht="17.25" customHeight="1" x14ac:dyDescent="0.25"/>
    <row r="306" s="13" customFormat="1" ht="17.25" customHeight="1" x14ac:dyDescent="0.25"/>
    <row r="307" s="13" customFormat="1" ht="17.25" customHeight="1" x14ac:dyDescent="0.25"/>
    <row r="308" s="13" customFormat="1" ht="17.25" customHeight="1" x14ac:dyDescent="0.25"/>
    <row r="309" s="13" customFormat="1" ht="17.25" customHeight="1" x14ac:dyDescent="0.25"/>
    <row r="310" s="13" customFormat="1" ht="17.25" customHeight="1" x14ac:dyDescent="0.25"/>
    <row r="311" s="13" customFormat="1" ht="17.25" customHeight="1" x14ac:dyDescent="0.25"/>
    <row r="312" s="13" customFormat="1" ht="17.25" customHeight="1" x14ac:dyDescent="0.25"/>
    <row r="313" s="13" customFormat="1" ht="17.25" customHeight="1" x14ac:dyDescent="0.25"/>
    <row r="314" s="13" customFormat="1" ht="17.25" customHeight="1" x14ac:dyDescent="0.25"/>
    <row r="315" s="13" customFormat="1" ht="17.25" customHeight="1" x14ac:dyDescent="0.25"/>
    <row r="316" s="13" customFormat="1" ht="17.25" customHeight="1" x14ac:dyDescent="0.25"/>
    <row r="317" s="13" customFormat="1" ht="17.25" customHeight="1" x14ac:dyDescent="0.25"/>
    <row r="318" s="13" customFormat="1" ht="17.25" customHeight="1" x14ac:dyDescent="0.25"/>
    <row r="319" s="13" customFormat="1" ht="17.25" customHeight="1" x14ac:dyDescent="0.25"/>
    <row r="320" s="13" customFormat="1" ht="17.25" customHeight="1" x14ac:dyDescent="0.25"/>
    <row r="321" s="13" customFormat="1" ht="17.25" customHeight="1" x14ac:dyDescent="0.25"/>
    <row r="322" s="13" customFormat="1" ht="17.25" customHeight="1" x14ac:dyDescent="0.25"/>
    <row r="323" s="13" customFormat="1" ht="17.25" customHeight="1" x14ac:dyDescent="0.25"/>
    <row r="324" s="13" customFormat="1" ht="17.25" customHeight="1" x14ac:dyDescent="0.25"/>
    <row r="325" s="13" customFormat="1" ht="17.25" customHeight="1" x14ac:dyDescent="0.25"/>
    <row r="326" s="13" customFormat="1" ht="17.25" customHeight="1" x14ac:dyDescent="0.25"/>
    <row r="327" s="13" customFormat="1" ht="17.25" customHeight="1" x14ac:dyDescent="0.25"/>
    <row r="328" s="13" customFormat="1" ht="17.25" customHeight="1" x14ac:dyDescent="0.25"/>
    <row r="329" s="13" customFormat="1" ht="17.25" customHeight="1" x14ac:dyDescent="0.25"/>
    <row r="330" s="13" customFormat="1" ht="17.25" customHeight="1" x14ac:dyDescent="0.25"/>
    <row r="331" s="13" customFormat="1" ht="17.25" customHeight="1" x14ac:dyDescent="0.25"/>
    <row r="332" s="13" customFormat="1" ht="17.25" customHeight="1" x14ac:dyDescent="0.25"/>
    <row r="333" s="13" customFormat="1" ht="17.25" customHeight="1" x14ac:dyDescent="0.25"/>
    <row r="334" s="13" customFormat="1" ht="17.25" customHeight="1" x14ac:dyDescent="0.25"/>
    <row r="335" s="13" customFormat="1" ht="17.25" customHeight="1" x14ac:dyDescent="0.25"/>
    <row r="336" s="13" customFormat="1" ht="17.25" customHeight="1" x14ac:dyDescent="0.25"/>
    <row r="337" s="13" customFormat="1" ht="17.25" customHeight="1" x14ac:dyDescent="0.25"/>
    <row r="338" s="13" customFormat="1" ht="17.25" customHeight="1" x14ac:dyDescent="0.25"/>
    <row r="339" s="13" customFormat="1" ht="17.25" customHeight="1" x14ac:dyDescent="0.25"/>
    <row r="340" s="13" customFormat="1" ht="17.25" customHeight="1" x14ac:dyDescent="0.25"/>
    <row r="341" s="13" customFormat="1" ht="17.25" customHeight="1" x14ac:dyDescent="0.25"/>
    <row r="342" s="13" customFormat="1" ht="17.25" customHeight="1" x14ac:dyDescent="0.25"/>
    <row r="343" s="13" customFormat="1" ht="17.25" customHeight="1" x14ac:dyDescent="0.25"/>
    <row r="344" s="13" customFormat="1" ht="17.25" customHeight="1" x14ac:dyDescent="0.25"/>
    <row r="345" s="13" customFormat="1" ht="17.25" customHeight="1" x14ac:dyDescent="0.25"/>
    <row r="346" s="13" customFormat="1" ht="17.25" customHeight="1" x14ac:dyDescent="0.25"/>
    <row r="347" s="13" customFormat="1" ht="17.25" customHeight="1" x14ac:dyDescent="0.25"/>
    <row r="348" s="13" customFormat="1" ht="17.25" customHeight="1" x14ac:dyDescent="0.25"/>
    <row r="349" s="13" customFormat="1" ht="17.25" customHeight="1" x14ac:dyDescent="0.25"/>
    <row r="350" s="13" customFormat="1" ht="17.25" customHeight="1" x14ac:dyDescent="0.25"/>
    <row r="351" s="13" customFormat="1" ht="17.25" customHeight="1" x14ac:dyDescent="0.25"/>
    <row r="352" s="13" customFormat="1" ht="17.25" customHeight="1" x14ac:dyDescent="0.25"/>
    <row r="353" s="13" customFormat="1" ht="17.25" customHeight="1" x14ac:dyDescent="0.25"/>
    <row r="354" s="13" customFormat="1" ht="17.25" customHeight="1" x14ac:dyDescent="0.25"/>
    <row r="355" s="13" customFormat="1" ht="17.25" customHeight="1" x14ac:dyDescent="0.25"/>
    <row r="356" s="13" customFormat="1" ht="17.25" customHeight="1" x14ac:dyDescent="0.25"/>
    <row r="357" s="13" customFormat="1" ht="17.25" customHeight="1" x14ac:dyDescent="0.25"/>
    <row r="358" s="13" customFormat="1" ht="17.25" customHeight="1" x14ac:dyDescent="0.25"/>
    <row r="359" s="13" customFormat="1" ht="17.25" customHeight="1" x14ac:dyDescent="0.25"/>
    <row r="360" s="13" customFormat="1" ht="17.25" customHeight="1" x14ac:dyDescent="0.25"/>
    <row r="361" s="13" customFormat="1" ht="17.25" customHeight="1" x14ac:dyDescent="0.25"/>
    <row r="362" s="13" customFormat="1" ht="17.25" customHeight="1" x14ac:dyDescent="0.25"/>
    <row r="363" s="13" customFormat="1" ht="17.25" customHeight="1" x14ac:dyDescent="0.25"/>
    <row r="364" s="13" customFormat="1" ht="17.25" customHeight="1" x14ac:dyDescent="0.25"/>
    <row r="365" s="13" customFormat="1" ht="17.25" customHeight="1" x14ac:dyDescent="0.25"/>
    <row r="366" s="13" customFormat="1" ht="17.25" customHeight="1" x14ac:dyDescent="0.25"/>
    <row r="367" s="13" customFormat="1" ht="17.25" customHeight="1" x14ac:dyDescent="0.25"/>
    <row r="368" s="13" customFormat="1" ht="17.25" customHeight="1" x14ac:dyDescent="0.25"/>
    <row r="369" s="13" customFormat="1" ht="17.25" customHeight="1" x14ac:dyDescent="0.25"/>
    <row r="370" s="13" customFormat="1" ht="17.25" customHeight="1" x14ac:dyDescent="0.25"/>
    <row r="371" s="13" customFormat="1" ht="17.25" customHeight="1" x14ac:dyDescent="0.25"/>
    <row r="372" s="13" customFormat="1" ht="17.25" customHeight="1" x14ac:dyDescent="0.25"/>
    <row r="373" s="13" customFormat="1" ht="17.25" customHeight="1" x14ac:dyDescent="0.25"/>
    <row r="374" s="13" customFormat="1" ht="17.25" customHeight="1" x14ac:dyDescent="0.25"/>
    <row r="375" s="13" customFormat="1" ht="17.25" customHeight="1" x14ac:dyDescent="0.25"/>
    <row r="376" s="13" customFormat="1" ht="17.25" customHeight="1" x14ac:dyDescent="0.25"/>
    <row r="377" s="13" customFormat="1" ht="17.25" customHeight="1" x14ac:dyDescent="0.25"/>
    <row r="378" s="13" customFormat="1" ht="17.25" customHeight="1" x14ac:dyDescent="0.25"/>
    <row r="379" s="13" customFormat="1" ht="17.25" customHeight="1" x14ac:dyDescent="0.25"/>
    <row r="380" s="13" customFormat="1" ht="17.25" customHeight="1" x14ac:dyDescent="0.25"/>
    <row r="381" s="13" customFormat="1" ht="17.25" customHeight="1" x14ac:dyDescent="0.25"/>
    <row r="382" s="13" customFormat="1" ht="17.25" customHeight="1" x14ac:dyDescent="0.25"/>
    <row r="383" s="13" customFormat="1" ht="17.25" customHeight="1" x14ac:dyDescent="0.25"/>
    <row r="384" s="13" customFormat="1" ht="17.25" customHeight="1" x14ac:dyDescent="0.25"/>
    <row r="385" s="13" customFormat="1" ht="17.25" customHeight="1" x14ac:dyDescent="0.25"/>
    <row r="386" s="13" customFormat="1" ht="17.25" customHeight="1" x14ac:dyDescent="0.25"/>
    <row r="387" s="13" customFormat="1" ht="17.25" customHeight="1" x14ac:dyDescent="0.25"/>
    <row r="388" s="13" customFormat="1" ht="17.25" customHeight="1" x14ac:dyDescent="0.25"/>
    <row r="389" s="13" customFormat="1" ht="17.25" customHeight="1" x14ac:dyDescent="0.25"/>
    <row r="390" s="13" customFormat="1" ht="17.25" customHeight="1" x14ac:dyDescent="0.25"/>
    <row r="391" s="13" customFormat="1" ht="17.25" customHeight="1" x14ac:dyDescent="0.25"/>
    <row r="392" s="13" customFormat="1" ht="17.25" customHeight="1" x14ac:dyDescent="0.25"/>
    <row r="393" s="13" customFormat="1" ht="17.25" customHeight="1" x14ac:dyDescent="0.25"/>
    <row r="394" s="13" customFormat="1" ht="17.25" customHeight="1" x14ac:dyDescent="0.25"/>
    <row r="395" s="13" customFormat="1" ht="17.25" customHeight="1" x14ac:dyDescent="0.25"/>
    <row r="396" s="13" customFormat="1" ht="17.25" customHeight="1" x14ac:dyDescent="0.25"/>
    <row r="397" s="13" customFormat="1" ht="17.25" customHeight="1" x14ac:dyDescent="0.25"/>
    <row r="398" s="13" customFormat="1" ht="17.25" customHeight="1" x14ac:dyDescent="0.25"/>
    <row r="399" s="13" customFormat="1" ht="17.25" customHeight="1" x14ac:dyDescent="0.25"/>
    <row r="400" s="13" customFormat="1" ht="17.25" customHeight="1" x14ac:dyDescent="0.25"/>
    <row r="401" s="13" customFormat="1" ht="17.25" customHeight="1" x14ac:dyDescent="0.25"/>
    <row r="402" s="13" customFormat="1" ht="17.25" customHeight="1" x14ac:dyDescent="0.25"/>
    <row r="403" s="13" customFormat="1" ht="17.25" customHeight="1" x14ac:dyDescent="0.25"/>
    <row r="404" s="13" customFormat="1" ht="17.25" customHeight="1" x14ac:dyDescent="0.25"/>
    <row r="405" s="13" customFormat="1" ht="17.25" customHeight="1" x14ac:dyDescent="0.25"/>
    <row r="406" s="13" customFormat="1" ht="17.25" customHeight="1" x14ac:dyDescent="0.25"/>
    <row r="407" s="13" customFormat="1" ht="17.25" customHeight="1" x14ac:dyDescent="0.25"/>
    <row r="408" s="13" customFormat="1" ht="17.25" customHeight="1" x14ac:dyDescent="0.25"/>
    <row r="409" s="13" customFormat="1" ht="17.25" customHeight="1" x14ac:dyDescent="0.25"/>
    <row r="410" s="13" customFormat="1" ht="17.25" customHeight="1" x14ac:dyDescent="0.25"/>
    <row r="411" s="13" customFormat="1" ht="17.25" customHeight="1" x14ac:dyDescent="0.25"/>
    <row r="412" s="13" customFormat="1" ht="17.25" customHeight="1" x14ac:dyDescent="0.25"/>
    <row r="413" s="13" customFormat="1" ht="17.25" customHeight="1" x14ac:dyDescent="0.25"/>
    <row r="414" s="13" customFormat="1" ht="17.25" customHeight="1" x14ac:dyDescent="0.25"/>
    <row r="415" s="13" customFormat="1" ht="17.25" customHeight="1" x14ac:dyDescent="0.25"/>
    <row r="416" s="13" customFormat="1" ht="17.25" customHeight="1" x14ac:dyDescent="0.25"/>
    <row r="417" s="13" customFormat="1" ht="17.25" customHeight="1" x14ac:dyDescent="0.25"/>
    <row r="418" s="13" customFormat="1" ht="17.25" customHeight="1" x14ac:dyDescent="0.25"/>
    <row r="419" s="13" customFormat="1" ht="17.25" customHeight="1" x14ac:dyDescent="0.25"/>
    <row r="420" s="13" customFormat="1" ht="17.25" customHeight="1" x14ac:dyDescent="0.25"/>
    <row r="421" s="13" customFormat="1" ht="17.25" customHeight="1" x14ac:dyDescent="0.25"/>
    <row r="422" s="13" customFormat="1" ht="17.25" customHeight="1" x14ac:dyDescent="0.25"/>
    <row r="423" s="13" customFormat="1" ht="17.25" customHeight="1" x14ac:dyDescent="0.25"/>
    <row r="424" s="13" customFormat="1" ht="17.25" customHeight="1" x14ac:dyDescent="0.25"/>
    <row r="425" s="13" customFormat="1" ht="17.25" customHeight="1" x14ac:dyDescent="0.25"/>
    <row r="426" s="13" customFormat="1" ht="17.25" customHeight="1" x14ac:dyDescent="0.25"/>
    <row r="427" s="13" customFormat="1" ht="17.25" customHeight="1" x14ac:dyDescent="0.25"/>
    <row r="428" s="13" customFormat="1" ht="17.25" customHeight="1" x14ac:dyDescent="0.25"/>
    <row r="429" s="13" customFormat="1" ht="17.25" customHeight="1" x14ac:dyDescent="0.25"/>
    <row r="430" s="13" customFormat="1" ht="17.25" customHeight="1" x14ac:dyDescent="0.25"/>
    <row r="431" s="13" customFormat="1" ht="17.25" customHeight="1" x14ac:dyDescent="0.25"/>
    <row r="432" s="13" customFormat="1" ht="17.25" customHeight="1" x14ac:dyDescent="0.25"/>
    <row r="433" s="13" customFormat="1" ht="17.25" customHeight="1" x14ac:dyDescent="0.25"/>
    <row r="434" s="13" customFormat="1" ht="17.25" customHeight="1" x14ac:dyDescent="0.25"/>
    <row r="435" s="13" customFormat="1" ht="17.25" customHeight="1" x14ac:dyDescent="0.25"/>
    <row r="436" s="13" customFormat="1" ht="17.25" customHeight="1" x14ac:dyDescent="0.25"/>
    <row r="437" s="13" customFormat="1" ht="17.25" customHeight="1" x14ac:dyDescent="0.25"/>
    <row r="438" s="13" customFormat="1" ht="17.25" customHeight="1" x14ac:dyDescent="0.25"/>
    <row r="439" s="13" customFormat="1" ht="17.25" customHeight="1" x14ac:dyDescent="0.25"/>
    <row r="440" s="13" customFormat="1" ht="17.25" customHeight="1" x14ac:dyDescent="0.25"/>
    <row r="441" s="13" customFormat="1" ht="17.25" customHeight="1" x14ac:dyDescent="0.25"/>
    <row r="442" s="13" customFormat="1" ht="17.25" customHeight="1" x14ac:dyDescent="0.25"/>
    <row r="443" s="13" customFormat="1" ht="17.25" customHeight="1" x14ac:dyDescent="0.25"/>
    <row r="444" s="13" customFormat="1" ht="17.25" customHeight="1" x14ac:dyDescent="0.25"/>
    <row r="445" s="13" customFormat="1" ht="17.25" customHeight="1" x14ac:dyDescent="0.25"/>
    <row r="446" s="13" customFormat="1" ht="17.25" customHeight="1" x14ac:dyDescent="0.25"/>
    <row r="447" s="13" customFormat="1" ht="17.25" customHeight="1" x14ac:dyDescent="0.25"/>
    <row r="448" s="13" customFormat="1" ht="17.25" customHeight="1" x14ac:dyDescent="0.25"/>
    <row r="449" s="13" customFormat="1" ht="17.25" customHeight="1" x14ac:dyDescent="0.25"/>
    <row r="450" s="13" customFormat="1" ht="17.25" customHeight="1" x14ac:dyDescent="0.25"/>
    <row r="451" s="13" customFormat="1" ht="17.25" customHeight="1" x14ac:dyDescent="0.25"/>
    <row r="452" s="13" customFormat="1" ht="17.25" customHeight="1" x14ac:dyDescent="0.25"/>
    <row r="453" s="13" customFormat="1" ht="17.25" customHeight="1" x14ac:dyDescent="0.25"/>
    <row r="454" s="13" customFormat="1" ht="17.25" customHeight="1" x14ac:dyDescent="0.25"/>
    <row r="455" s="13" customFormat="1" ht="17.25" customHeight="1" x14ac:dyDescent="0.25"/>
    <row r="456" s="13" customFormat="1" ht="17.25" customHeight="1" x14ac:dyDescent="0.25"/>
    <row r="457" s="13" customFormat="1" ht="17.25" customHeight="1" x14ac:dyDescent="0.25"/>
    <row r="458" s="13" customFormat="1" ht="17.25" customHeight="1" x14ac:dyDescent="0.25"/>
    <row r="459" s="13" customFormat="1" ht="17.25" customHeight="1" x14ac:dyDescent="0.25"/>
    <row r="460" s="13" customFormat="1" ht="17.25" customHeight="1" x14ac:dyDescent="0.25"/>
    <row r="461" s="13" customFormat="1" ht="17.25" customHeight="1" x14ac:dyDescent="0.25"/>
    <row r="462" s="13" customFormat="1" ht="17.25" customHeight="1" x14ac:dyDescent="0.25"/>
    <row r="463" s="13" customFormat="1" ht="17.25" customHeight="1" x14ac:dyDescent="0.25"/>
    <row r="464" s="13" customFormat="1" ht="17.25" customHeight="1" x14ac:dyDescent="0.25"/>
    <row r="465" s="13" customFormat="1" ht="17.25" customHeight="1" x14ac:dyDescent="0.25"/>
    <row r="466" s="13" customFormat="1" ht="17.25" customHeight="1" x14ac:dyDescent="0.25"/>
    <row r="467" s="13" customFormat="1" ht="17.25" customHeight="1" x14ac:dyDescent="0.25"/>
    <row r="468" s="13" customFormat="1" ht="17.25" customHeight="1" x14ac:dyDescent="0.25"/>
    <row r="469" s="13" customFormat="1" ht="17.25" customHeight="1" x14ac:dyDescent="0.25"/>
    <row r="470" s="13" customFormat="1" ht="17.25" customHeight="1" x14ac:dyDescent="0.25"/>
    <row r="471" s="13" customFormat="1" ht="17.25" customHeight="1" x14ac:dyDescent="0.25"/>
    <row r="472" s="13" customFormat="1" ht="17.25" customHeight="1" x14ac:dyDescent="0.25"/>
    <row r="473" s="13" customFormat="1" ht="17.25" customHeight="1" x14ac:dyDescent="0.25"/>
    <row r="474" s="13" customFormat="1" ht="17.25" customHeight="1" x14ac:dyDescent="0.25"/>
    <row r="475" s="13" customFormat="1" ht="17.25" customHeight="1" x14ac:dyDescent="0.25"/>
    <row r="476" s="13" customFormat="1" ht="17.25" customHeight="1" x14ac:dyDescent="0.25"/>
    <row r="477" s="13" customFormat="1" ht="17.25" customHeight="1" x14ac:dyDescent="0.25"/>
    <row r="478" s="13" customFormat="1" ht="17.25" customHeight="1" x14ac:dyDescent="0.25"/>
    <row r="479" s="13" customFormat="1" ht="17.25" customHeight="1" x14ac:dyDescent="0.25"/>
    <row r="480" s="13" customFormat="1" ht="17.25" customHeight="1" x14ac:dyDescent="0.25"/>
    <row r="481" s="13" customFormat="1" ht="17.25" customHeight="1" x14ac:dyDescent="0.25"/>
    <row r="482" s="13" customFormat="1" ht="17.25" customHeight="1" x14ac:dyDescent="0.25"/>
    <row r="483" s="13" customFormat="1" ht="17.25" customHeight="1" x14ac:dyDescent="0.25"/>
    <row r="484" s="13" customFormat="1" ht="17.25" customHeight="1" x14ac:dyDescent="0.25"/>
    <row r="485" s="13" customFormat="1" ht="17.25" customHeight="1" x14ac:dyDescent="0.25"/>
    <row r="486" s="13" customFormat="1" ht="17.25" customHeight="1" x14ac:dyDescent="0.25"/>
    <row r="487" s="13" customFormat="1" ht="17.25" customHeight="1" x14ac:dyDescent="0.25"/>
    <row r="488" s="13" customFormat="1" ht="17.25" customHeight="1" x14ac:dyDescent="0.25"/>
    <row r="489" s="13" customFormat="1" ht="17.25" customHeight="1" x14ac:dyDescent="0.25"/>
    <row r="490" s="13" customFormat="1" ht="17.25" customHeight="1" x14ac:dyDescent="0.25"/>
    <row r="491" s="13" customFormat="1" ht="17.25" customHeight="1" x14ac:dyDescent="0.25"/>
    <row r="492" s="13" customFormat="1" ht="17.25" customHeight="1" x14ac:dyDescent="0.25"/>
    <row r="493" s="13" customFormat="1" ht="17.25" customHeight="1" x14ac:dyDescent="0.25"/>
    <row r="494" s="13" customFormat="1" ht="17.25" customHeight="1" x14ac:dyDescent="0.25"/>
    <row r="495" s="13" customFormat="1" ht="17.25" customHeight="1" x14ac:dyDescent="0.25"/>
    <row r="496" s="13" customFormat="1" ht="17.25" customHeight="1" x14ac:dyDescent="0.25"/>
    <row r="497" s="13" customFormat="1" ht="17.25" customHeight="1" x14ac:dyDescent="0.25"/>
    <row r="498" s="13" customFormat="1" ht="17.25" customHeight="1" x14ac:dyDescent="0.25"/>
    <row r="499" s="13" customFormat="1" ht="17.25" customHeight="1" x14ac:dyDescent="0.25"/>
    <row r="500" s="13" customFormat="1" ht="17.25" customHeight="1" x14ac:dyDescent="0.25"/>
    <row r="501" s="13" customFormat="1" ht="17.25" customHeight="1" x14ac:dyDescent="0.25"/>
    <row r="502" s="13" customFormat="1" ht="17.25" customHeight="1" x14ac:dyDescent="0.25"/>
    <row r="503" s="13" customFormat="1" ht="17.25" customHeight="1" x14ac:dyDescent="0.25"/>
    <row r="504" s="13" customFormat="1" ht="17.25" customHeight="1" x14ac:dyDescent="0.25"/>
    <row r="505" s="13" customFormat="1" ht="17.25" customHeight="1" x14ac:dyDescent="0.25"/>
    <row r="506" s="13" customFormat="1" ht="17.25" customHeight="1" x14ac:dyDescent="0.25"/>
    <row r="507" s="13" customFormat="1" ht="17.25" customHeight="1" x14ac:dyDescent="0.25"/>
    <row r="508" s="13" customFormat="1" ht="17.25" customHeight="1" x14ac:dyDescent="0.25"/>
    <row r="509" s="13" customFormat="1" ht="17.25" customHeight="1" x14ac:dyDescent="0.25"/>
    <row r="510" s="13" customFormat="1" ht="17.25" customHeight="1" x14ac:dyDescent="0.25"/>
    <row r="511" s="13" customFormat="1" ht="17.25" customHeight="1" x14ac:dyDescent="0.25"/>
    <row r="512" s="13" customFormat="1" ht="17.25" customHeight="1" x14ac:dyDescent="0.25"/>
    <row r="513" s="13" customFormat="1" ht="17.25" customHeight="1" x14ac:dyDescent="0.25"/>
    <row r="514" s="13" customFormat="1" ht="17.25" customHeight="1" x14ac:dyDescent="0.25"/>
    <row r="515" s="13" customFormat="1" ht="17.25" customHeight="1" x14ac:dyDescent="0.25"/>
    <row r="516" s="13" customFormat="1" ht="17.25" customHeight="1" x14ac:dyDescent="0.25"/>
    <row r="517" s="13" customFormat="1" ht="17.25" customHeight="1" x14ac:dyDescent="0.25"/>
    <row r="518" s="13" customFormat="1" ht="17.25" customHeight="1" x14ac:dyDescent="0.25"/>
    <row r="519" s="13" customFormat="1" ht="17.25" customHeight="1" x14ac:dyDescent="0.25"/>
    <row r="520" s="13" customFormat="1" ht="17.25" customHeight="1" x14ac:dyDescent="0.25"/>
    <row r="521" s="13" customFormat="1" ht="17.25" customHeight="1" x14ac:dyDescent="0.25"/>
    <row r="522" s="13" customFormat="1" ht="17.25" customHeight="1" x14ac:dyDescent="0.25"/>
    <row r="523" s="13" customFormat="1" ht="17.25" customHeight="1" x14ac:dyDescent="0.25"/>
    <row r="524" s="13" customFormat="1" ht="17.25" customHeight="1" x14ac:dyDescent="0.25"/>
    <row r="525" s="13" customFormat="1" ht="17.25" customHeight="1" x14ac:dyDescent="0.25"/>
    <row r="526" s="13" customFormat="1" ht="17.25" customHeight="1" x14ac:dyDescent="0.25"/>
    <row r="527" s="13" customFormat="1" ht="17.25" customHeight="1" x14ac:dyDescent="0.25"/>
    <row r="528" s="13" customFormat="1" ht="17.25" customHeight="1" x14ac:dyDescent="0.25"/>
    <row r="529" s="13" customFormat="1" ht="17.25" customHeight="1" x14ac:dyDescent="0.25"/>
    <row r="530" s="13" customFormat="1" ht="17.25" customHeight="1" x14ac:dyDescent="0.25"/>
    <row r="531" s="13" customFormat="1" ht="17.25" customHeight="1" x14ac:dyDescent="0.25"/>
    <row r="532" s="13" customFormat="1" ht="17.25" customHeight="1" x14ac:dyDescent="0.25"/>
    <row r="533" s="13" customFormat="1" ht="17.25" customHeight="1" x14ac:dyDescent="0.25"/>
    <row r="534" s="13" customFormat="1" ht="17.25" customHeight="1" x14ac:dyDescent="0.25"/>
    <row r="535" s="13" customFormat="1" ht="17.25" customHeight="1" x14ac:dyDescent="0.25"/>
    <row r="536" s="13" customFormat="1" ht="17.25" customHeight="1" x14ac:dyDescent="0.25"/>
    <row r="537" s="13" customFormat="1" ht="17.25" customHeight="1" x14ac:dyDescent="0.25"/>
    <row r="538" s="13" customFormat="1" ht="17.25" customHeight="1" x14ac:dyDescent="0.25"/>
    <row r="539" s="13" customFormat="1" ht="17.25" customHeight="1" x14ac:dyDescent="0.25"/>
    <row r="540" s="13" customFormat="1" ht="17.25" customHeight="1" x14ac:dyDescent="0.25"/>
    <row r="541" s="13" customFormat="1" ht="17.25" customHeight="1" x14ac:dyDescent="0.25"/>
    <row r="542" s="13" customFormat="1" ht="17.25" customHeight="1" x14ac:dyDescent="0.25"/>
    <row r="543" s="13" customFormat="1" ht="17.25" customHeight="1" x14ac:dyDescent="0.25"/>
    <row r="544" s="13" customFormat="1" ht="17.25" customHeight="1" x14ac:dyDescent="0.25"/>
    <row r="545" s="13" customFormat="1" ht="17.25" customHeight="1" x14ac:dyDescent="0.25"/>
    <row r="546" s="13" customFormat="1" ht="17.25" customHeight="1" x14ac:dyDescent="0.25"/>
    <row r="547" s="13" customFormat="1" ht="17.25" customHeight="1" x14ac:dyDescent="0.25"/>
    <row r="548" s="13" customFormat="1" ht="17.25" customHeight="1" x14ac:dyDescent="0.25"/>
    <row r="549" s="13" customFormat="1" ht="17.25" customHeight="1" x14ac:dyDescent="0.25"/>
    <row r="550" s="13" customFormat="1" ht="17.25" customHeight="1" x14ac:dyDescent="0.25"/>
    <row r="551" s="13" customFormat="1" ht="17.25" customHeight="1" x14ac:dyDescent="0.25"/>
    <row r="552" s="13" customFormat="1" ht="17.25" customHeight="1" x14ac:dyDescent="0.25"/>
    <row r="553" s="13" customFormat="1" ht="17.25" customHeight="1" x14ac:dyDescent="0.25"/>
    <row r="554" s="13" customFormat="1" ht="17.25" customHeight="1" x14ac:dyDescent="0.25"/>
    <row r="555" s="13" customFormat="1" ht="17.25" customHeight="1" x14ac:dyDescent="0.25"/>
    <row r="556" s="13" customFormat="1" ht="17.25" customHeight="1" x14ac:dyDescent="0.25"/>
    <row r="557" s="13" customFormat="1" ht="17.25" customHeight="1" x14ac:dyDescent="0.25"/>
    <row r="558" s="13" customFormat="1" ht="17.25" customHeight="1" x14ac:dyDescent="0.25"/>
    <row r="559" s="13" customFormat="1" ht="17.25" customHeight="1" x14ac:dyDescent="0.25"/>
    <row r="560" s="13" customFormat="1" ht="17.25" customHeight="1" x14ac:dyDescent="0.25"/>
    <row r="561" s="13" customFormat="1" ht="17.25" customHeight="1" x14ac:dyDescent="0.25"/>
    <row r="562" s="13" customFormat="1" ht="17.25" customHeight="1" x14ac:dyDescent="0.25"/>
    <row r="563" s="13" customFormat="1" ht="17.25" customHeight="1" x14ac:dyDescent="0.25"/>
    <row r="564" s="13" customFormat="1" ht="17.25" customHeight="1" x14ac:dyDescent="0.25"/>
    <row r="565" s="13" customFormat="1" ht="17.25" customHeight="1" x14ac:dyDescent="0.25"/>
    <row r="566" s="13" customFormat="1" ht="17.25" customHeight="1" x14ac:dyDescent="0.25"/>
    <row r="567" s="13" customFormat="1" ht="17.25" customHeight="1" x14ac:dyDescent="0.25"/>
    <row r="568" s="13" customFormat="1" ht="17.25" customHeight="1" x14ac:dyDescent="0.25"/>
    <row r="569" s="13" customFormat="1" ht="17.25" customHeight="1" x14ac:dyDescent="0.25"/>
    <row r="570" s="13" customFormat="1" ht="17.25" customHeight="1" x14ac:dyDescent="0.25"/>
    <row r="571" s="13" customFormat="1" ht="17.25" customHeight="1" x14ac:dyDescent="0.25"/>
    <row r="572" s="13" customFormat="1" ht="17.25" customHeight="1" x14ac:dyDescent="0.25"/>
    <row r="573" s="13" customFormat="1" ht="17.25" customHeight="1" x14ac:dyDescent="0.25"/>
    <row r="574" s="13" customFormat="1" ht="17.25" customHeight="1" x14ac:dyDescent="0.25"/>
    <row r="575" s="13" customFormat="1" ht="17.25" customHeight="1" x14ac:dyDescent="0.25"/>
    <row r="576" s="13" customFormat="1" ht="17.25" customHeight="1" x14ac:dyDescent="0.25"/>
    <row r="577" s="13" customFormat="1" ht="17.25" customHeight="1" x14ac:dyDescent="0.25"/>
    <row r="578" s="13" customFormat="1" ht="17.25" customHeight="1" x14ac:dyDescent="0.25"/>
    <row r="579" s="13" customFormat="1" ht="17.25" customHeight="1" x14ac:dyDescent="0.25"/>
    <row r="580" s="13" customFormat="1" ht="17.25" customHeight="1" x14ac:dyDescent="0.25"/>
    <row r="581" s="13" customFormat="1" ht="17.25" customHeight="1" x14ac:dyDescent="0.25"/>
    <row r="582" s="13" customFormat="1" ht="17.25" customHeight="1" x14ac:dyDescent="0.25"/>
    <row r="583" s="13" customFormat="1" ht="17.25" customHeight="1" x14ac:dyDescent="0.25"/>
    <row r="584" s="13" customFormat="1" ht="17.25" customHeight="1" x14ac:dyDescent="0.25"/>
    <row r="585" s="13" customFormat="1" ht="17.25" customHeight="1" x14ac:dyDescent="0.25"/>
    <row r="586" s="13" customFormat="1" ht="17.25" customHeight="1" x14ac:dyDescent="0.25"/>
    <row r="587" s="13" customFormat="1" ht="17.25" customHeight="1" x14ac:dyDescent="0.25"/>
    <row r="588" s="13" customFormat="1" ht="17.25" customHeight="1" x14ac:dyDescent="0.25"/>
    <row r="589" s="13" customFormat="1" ht="17.25" customHeight="1" x14ac:dyDescent="0.25"/>
    <row r="590" s="13" customFormat="1" ht="17.25" customHeight="1" x14ac:dyDescent="0.25"/>
    <row r="591" s="13" customFormat="1" ht="17.25" customHeight="1" x14ac:dyDescent="0.25"/>
    <row r="592" s="13" customFormat="1" ht="17.25" customHeight="1" x14ac:dyDescent="0.25"/>
    <row r="593" s="13" customFormat="1" ht="17.25" customHeight="1" x14ac:dyDescent="0.25"/>
    <row r="594" s="13" customFormat="1" ht="17.25" customHeight="1" x14ac:dyDescent="0.25"/>
    <row r="595" s="13" customFormat="1" ht="17.25" customHeight="1" x14ac:dyDescent="0.25"/>
    <row r="596" s="13" customFormat="1" ht="17.25" customHeight="1" x14ac:dyDescent="0.25"/>
    <row r="597" s="13" customFormat="1" ht="17.25" customHeight="1" x14ac:dyDescent="0.25"/>
    <row r="598" s="13" customFormat="1" ht="17.25" customHeight="1" x14ac:dyDescent="0.25"/>
    <row r="599" s="13" customFormat="1" ht="17.25" customHeight="1" x14ac:dyDescent="0.25"/>
    <row r="600" s="13" customFormat="1" ht="17.25" customHeight="1" x14ac:dyDescent="0.25"/>
    <row r="601" s="13" customFormat="1" ht="17.25" customHeight="1" x14ac:dyDescent="0.25"/>
    <row r="602" s="13" customFormat="1" ht="17.25" customHeight="1" x14ac:dyDescent="0.25"/>
    <row r="603" s="13" customFormat="1" ht="17.25" customHeight="1" x14ac:dyDescent="0.25"/>
    <row r="604" s="13" customFormat="1" ht="17.25" customHeight="1" x14ac:dyDescent="0.25"/>
    <row r="605" s="13" customFormat="1" ht="17.25" customHeight="1" x14ac:dyDescent="0.25"/>
    <row r="606" s="13" customFormat="1" ht="17.25" customHeight="1" x14ac:dyDescent="0.25"/>
    <row r="607" s="13" customFormat="1" ht="17.25" customHeight="1" x14ac:dyDescent="0.25"/>
    <row r="608" s="13" customFormat="1" ht="17.25" customHeight="1" x14ac:dyDescent="0.25"/>
    <row r="609" s="13" customFormat="1" ht="17.25" customHeight="1" x14ac:dyDescent="0.25"/>
    <row r="610" s="13" customFormat="1" ht="17.25" customHeight="1" x14ac:dyDescent="0.25"/>
    <row r="611" s="13" customFormat="1" ht="17.25" customHeight="1" x14ac:dyDescent="0.25"/>
    <row r="612" s="13" customFormat="1" ht="17.25" customHeight="1" x14ac:dyDescent="0.25"/>
    <row r="613" s="13" customFormat="1" ht="17.25" customHeight="1" x14ac:dyDescent="0.25"/>
    <row r="614" s="13" customFormat="1" ht="17.25" customHeight="1" x14ac:dyDescent="0.25"/>
    <row r="615" s="13" customFormat="1" ht="17.25" customHeight="1" x14ac:dyDescent="0.25"/>
    <row r="616" s="13" customFormat="1" ht="17.25" customHeight="1" x14ac:dyDescent="0.25"/>
    <row r="617" s="13" customFormat="1" ht="17.25" customHeight="1" x14ac:dyDescent="0.25"/>
    <row r="618" s="13" customFormat="1" ht="17.25" customHeight="1" x14ac:dyDescent="0.25"/>
    <row r="619" s="13" customFormat="1" ht="17.25" customHeight="1" x14ac:dyDescent="0.25"/>
    <row r="620" s="13" customFormat="1" ht="17.25" customHeight="1" x14ac:dyDescent="0.25"/>
    <row r="621" s="13" customFormat="1" ht="17.25" customHeight="1" x14ac:dyDescent="0.25"/>
    <row r="622" s="13" customFormat="1" ht="17.25" customHeight="1" x14ac:dyDescent="0.25"/>
    <row r="623" s="13" customFormat="1" ht="17.25" customHeight="1" x14ac:dyDescent="0.25"/>
    <row r="624" s="13" customFormat="1" ht="17.25" customHeight="1" x14ac:dyDescent="0.25"/>
    <row r="625" s="13" customFormat="1" ht="17.25" customHeight="1" x14ac:dyDescent="0.25"/>
    <row r="626" s="13" customFormat="1" ht="17.25" customHeight="1" x14ac:dyDescent="0.25"/>
    <row r="627" s="13" customFormat="1" ht="17.25" customHeight="1" x14ac:dyDescent="0.25"/>
    <row r="628" s="13" customFormat="1" ht="17.25" customHeight="1" x14ac:dyDescent="0.25"/>
    <row r="629" s="13" customFormat="1" ht="17.25" customHeight="1" x14ac:dyDescent="0.25"/>
    <row r="630" s="13" customFormat="1" ht="17.25" customHeight="1" x14ac:dyDescent="0.25"/>
    <row r="631" s="13" customFormat="1" ht="17.25" customHeight="1" x14ac:dyDescent="0.25"/>
    <row r="632" s="13" customFormat="1" ht="17.25" customHeight="1" x14ac:dyDescent="0.25"/>
    <row r="633" s="13" customFormat="1" ht="17.25" customHeight="1" x14ac:dyDescent="0.25"/>
    <row r="634" s="13" customFormat="1" ht="17.25" customHeight="1" x14ac:dyDescent="0.25"/>
    <row r="635" s="13" customFormat="1" ht="17.25" customHeight="1" x14ac:dyDescent="0.25"/>
    <row r="636" s="13" customFormat="1" ht="17.25" customHeight="1" x14ac:dyDescent="0.25"/>
    <row r="637" s="13" customFormat="1" ht="17.25" customHeight="1" x14ac:dyDescent="0.25"/>
    <row r="638" s="13" customFormat="1" ht="17.25" customHeight="1" x14ac:dyDescent="0.25"/>
    <row r="639" s="13" customFormat="1" ht="17.25" customHeight="1" x14ac:dyDescent="0.25"/>
    <row r="640" s="13" customFormat="1" ht="17.25" customHeight="1" x14ac:dyDescent="0.25"/>
    <row r="641" s="13" customFormat="1" ht="17.25" customHeight="1" x14ac:dyDescent="0.25"/>
    <row r="642" s="13" customFormat="1" ht="17.25" customHeight="1" x14ac:dyDescent="0.25"/>
    <row r="643" s="13" customFormat="1" ht="17.25" customHeight="1" x14ac:dyDescent="0.25"/>
    <row r="644" s="13" customFormat="1" ht="17.25" customHeight="1" x14ac:dyDescent="0.25"/>
    <row r="645" s="13" customFormat="1" ht="17.25" customHeight="1" x14ac:dyDescent="0.25"/>
    <row r="646" s="13" customFormat="1" ht="17.25" customHeight="1" x14ac:dyDescent="0.25"/>
    <row r="647" s="13" customFormat="1" ht="17.25" customHeight="1" x14ac:dyDescent="0.25"/>
    <row r="648" s="13" customFormat="1" ht="17.25" customHeight="1" x14ac:dyDescent="0.25"/>
    <row r="649" s="13" customFormat="1" ht="17.25" customHeight="1" x14ac:dyDescent="0.25"/>
    <row r="650" s="13" customFormat="1" ht="17.25" customHeight="1" x14ac:dyDescent="0.25"/>
    <row r="651" s="13" customFormat="1" ht="17.25" customHeight="1" x14ac:dyDescent="0.25"/>
    <row r="652" s="13" customFormat="1" ht="17.25" customHeight="1" x14ac:dyDescent="0.25"/>
    <row r="653" s="13" customFormat="1" ht="17.25" customHeight="1" x14ac:dyDescent="0.25"/>
    <row r="654" s="13" customFormat="1" ht="17.25" customHeight="1" x14ac:dyDescent="0.25"/>
    <row r="655" s="13" customFormat="1" ht="17.25" customHeight="1" x14ac:dyDescent="0.25"/>
    <row r="656" s="13" customFormat="1" ht="17.25" customHeight="1" x14ac:dyDescent="0.25"/>
    <row r="657" s="13" customFormat="1" ht="17.25" customHeight="1" x14ac:dyDescent="0.25"/>
    <row r="658" s="13" customFormat="1" ht="17.25" customHeight="1" x14ac:dyDescent="0.25"/>
    <row r="659" s="13" customFormat="1" ht="17.25" customHeight="1" x14ac:dyDescent="0.25"/>
    <row r="660" s="13" customFormat="1" ht="17.25" customHeight="1" x14ac:dyDescent="0.25"/>
    <row r="661" s="13" customFormat="1" ht="17.25" customHeight="1" x14ac:dyDescent="0.25"/>
    <row r="662" s="13" customFormat="1" ht="17.25" customHeight="1" x14ac:dyDescent="0.25"/>
    <row r="663" s="13" customFormat="1" ht="17.25" customHeight="1" x14ac:dyDescent="0.25"/>
    <row r="664" s="13" customFormat="1" ht="17.25" customHeight="1" x14ac:dyDescent="0.25"/>
    <row r="665" s="13" customFormat="1" ht="17.25" customHeight="1" x14ac:dyDescent="0.25"/>
    <row r="666" s="13" customFormat="1" ht="17.25" customHeight="1" x14ac:dyDescent="0.25"/>
    <row r="667" s="13" customFormat="1" ht="17.25" customHeight="1" x14ac:dyDescent="0.25"/>
    <row r="668" s="13" customFormat="1" ht="17.25" customHeight="1" x14ac:dyDescent="0.25"/>
    <row r="669" s="13" customFormat="1" ht="17.25" customHeight="1" x14ac:dyDescent="0.25"/>
    <row r="670" s="13" customFormat="1" ht="17.25" customHeight="1" x14ac:dyDescent="0.25"/>
    <row r="671" s="13" customFormat="1" ht="17.25" customHeight="1" x14ac:dyDescent="0.25"/>
    <row r="672" s="13" customFormat="1" ht="17.25" customHeight="1" x14ac:dyDescent="0.25"/>
    <row r="673" s="13" customFormat="1" ht="17.25" customHeight="1" x14ac:dyDescent="0.25"/>
    <row r="674" s="13" customFormat="1" ht="17.25" customHeight="1" x14ac:dyDescent="0.25"/>
    <row r="675" s="13" customFormat="1" ht="17.25" customHeight="1" x14ac:dyDescent="0.25"/>
    <row r="676" s="13" customFormat="1" ht="17.25" customHeight="1" x14ac:dyDescent="0.25"/>
    <row r="677" s="13" customFormat="1" ht="17.25" customHeight="1" x14ac:dyDescent="0.25"/>
    <row r="678" s="13" customFormat="1" ht="17.25" customHeight="1" x14ac:dyDescent="0.25"/>
    <row r="679" s="13" customFormat="1" ht="17.25" customHeight="1" x14ac:dyDescent="0.25"/>
    <row r="680" s="13" customFormat="1" ht="17.25" customHeight="1" x14ac:dyDescent="0.25"/>
    <row r="681" s="13" customFormat="1" ht="17.25" customHeight="1" x14ac:dyDescent="0.25"/>
    <row r="682" s="13" customFormat="1" ht="17.25" customHeight="1" x14ac:dyDescent="0.25"/>
    <row r="683" s="13" customFormat="1" ht="17.25" customHeight="1" x14ac:dyDescent="0.25"/>
    <row r="684" s="13" customFormat="1" ht="17.25" customHeight="1" x14ac:dyDescent="0.25"/>
    <row r="685" s="13" customFormat="1" ht="17.25" customHeight="1" x14ac:dyDescent="0.25"/>
    <row r="686" s="13" customFormat="1" ht="17.25" customHeight="1" x14ac:dyDescent="0.25"/>
    <row r="687" s="13" customFormat="1" ht="17.25" customHeight="1" x14ac:dyDescent="0.25"/>
    <row r="688" s="13" customFormat="1" ht="17.25" customHeight="1" x14ac:dyDescent="0.25"/>
    <row r="689" s="13" customFormat="1" ht="17.25" customHeight="1" x14ac:dyDescent="0.25"/>
    <row r="690" s="13" customFormat="1" ht="17.25" customHeight="1" x14ac:dyDescent="0.25"/>
    <row r="691" s="13" customFormat="1" ht="17.25" customHeight="1" x14ac:dyDescent="0.25"/>
    <row r="692" s="13" customFormat="1" ht="17.25" customHeight="1" x14ac:dyDescent="0.25"/>
    <row r="693" s="13" customFormat="1" ht="17.25" customHeight="1" x14ac:dyDescent="0.25"/>
    <row r="694" s="13" customFormat="1" ht="17.25" customHeight="1" x14ac:dyDescent="0.25"/>
    <row r="695" s="13" customFormat="1" ht="17.25" customHeight="1" x14ac:dyDescent="0.25"/>
    <row r="696" s="13" customFormat="1" ht="17.25" customHeight="1" x14ac:dyDescent="0.25"/>
    <row r="697" s="13" customFormat="1" ht="17.25" customHeight="1" x14ac:dyDescent="0.25"/>
    <row r="698" s="13" customFormat="1" ht="17.25" customHeight="1" x14ac:dyDescent="0.25"/>
    <row r="699" s="13" customFormat="1" ht="17.25" customHeight="1" x14ac:dyDescent="0.25"/>
    <row r="700" s="13" customFormat="1" ht="17.25" customHeight="1" x14ac:dyDescent="0.25"/>
    <row r="701" s="13" customFormat="1" ht="17.25" customHeight="1" x14ac:dyDescent="0.25"/>
    <row r="702" s="13" customFormat="1" ht="17.25" customHeight="1" x14ac:dyDescent="0.25"/>
    <row r="703" s="13" customFormat="1" ht="17.25" customHeight="1" x14ac:dyDescent="0.25"/>
    <row r="704" s="13" customFormat="1" ht="17.25" customHeight="1" x14ac:dyDescent="0.25"/>
    <row r="705" s="13" customFormat="1" ht="17.25" customHeight="1" x14ac:dyDescent="0.25"/>
    <row r="706" s="13" customFormat="1" ht="17.25" customHeight="1" x14ac:dyDescent="0.25"/>
    <row r="707" s="13" customFormat="1" ht="17.25" customHeight="1" x14ac:dyDescent="0.25"/>
    <row r="708" s="13" customFormat="1" ht="17.25" customHeight="1" x14ac:dyDescent="0.25"/>
    <row r="709" s="13" customFormat="1" ht="17.25" customHeight="1" x14ac:dyDescent="0.25"/>
    <row r="710" s="13" customFormat="1" ht="17.25" customHeight="1" x14ac:dyDescent="0.25"/>
    <row r="711" s="13" customFormat="1" ht="17.25" customHeight="1" x14ac:dyDescent="0.25"/>
    <row r="712" s="13" customFormat="1" ht="17.25" customHeight="1" x14ac:dyDescent="0.25"/>
    <row r="713" s="13" customFormat="1" ht="17.25" customHeight="1" x14ac:dyDescent="0.25"/>
    <row r="714" s="13" customFormat="1" ht="17.25" customHeight="1" x14ac:dyDescent="0.25"/>
    <row r="715" s="13" customFormat="1" ht="17.25" customHeight="1" x14ac:dyDescent="0.25"/>
    <row r="716" s="13" customFormat="1" ht="17.25" customHeight="1" x14ac:dyDescent="0.25"/>
    <row r="717" s="13" customFormat="1" ht="17.25" customHeight="1" x14ac:dyDescent="0.25"/>
    <row r="718" s="13" customFormat="1" ht="17.25" customHeight="1" x14ac:dyDescent="0.25"/>
    <row r="719" s="13" customFormat="1" ht="17.25" customHeight="1" x14ac:dyDescent="0.25"/>
    <row r="720" s="13" customFormat="1" ht="17.25" customHeight="1" x14ac:dyDescent="0.25"/>
    <row r="721" s="13" customFormat="1" ht="17.25" customHeight="1" x14ac:dyDescent="0.25"/>
    <row r="722" s="13" customFormat="1" ht="17.25" customHeight="1" x14ac:dyDescent="0.25"/>
    <row r="723" s="13" customFormat="1" ht="17.25" customHeight="1" x14ac:dyDescent="0.25"/>
    <row r="724" s="13" customFormat="1" ht="17.25" customHeight="1" x14ac:dyDescent="0.25"/>
    <row r="725" s="13" customFormat="1" ht="17.25" customHeight="1" x14ac:dyDescent="0.25"/>
    <row r="726" s="13" customFormat="1" ht="17.25" customHeight="1" x14ac:dyDescent="0.25"/>
    <row r="727" s="13" customFormat="1" ht="17.25" customHeight="1" x14ac:dyDescent="0.25"/>
    <row r="728" s="13" customFormat="1" ht="17.25" customHeight="1" x14ac:dyDescent="0.25"/>
    <row r="729" s="13" customFormat="1" ht="17.25" customHeight="1" x14ac:dyDescent="0.25"/>
    <row r="730" s="13" customFormat="1" ht="17.25" customHeight="1" x14ac:dyDescent="0.25"/>
    <row r="731" s="13" customFormat="1" ht="17.25" customHeight="1" x14ac:dyDescent="0.25"/>
    <row r="732" s="13" customFormat="1" ht="17.25" customHeight="1" x14ac:dyDescent="0.25"/>
    <row r="733" s="13" customFormat="1" ht="17.25" customHeight="1" x14ac:dyDescent="0.25"/>
    <row r="734" s="13" customFormat="1" ht="17.25" customHeight="1" x14ac:dyDescent="0.25"/>
    <row r="735" s="13" customFormat="1" ht="17.25" customHeight="1" x14ac:dyDescent="0.25"/>
    <row r="736" s="13" customFormat="1" ht="17.25" customHeight="1" x14ac:dyDescent="0.25"/>
    <row r="737" s="13" customFormat="1" ht="17.25" customHeight="1" x14ac:dyDescent="0.25"/>
    <row r="738" s="13" customFormat="1" ht="17.25" customHeight="1" x14ac:dyDescent="0.25"/>
    <row r="739" s="13" customFormat="1" ht="17.25" customHeight="1" x14ac:dyDescent="0.25"/>
    <row r="740" s="13" customFormat="1" ht="17.25" customHeight="1" x14ac:dyDescent="0.25"/>
    <row r="741" s="13" customFormat="1" ht="17.25" customHeight="1" x14ac:dyDescent="0.25"/>
    <row r="742" s="13" customFormat="1" ht="17.25" customHeight="1" x14ac:dyDescent="0.25"/>
    <row r="743" s="13" customFormat="1" ht="17.25" customHeight="1" x14ac:dyDescent="0.25"/>
    <row r="744" s="13" customFormat="1" ht="17.25" customHeight="1" x14ac:dyDescent="0.25"/>
    <row r="745" s="13" customFormat="1" ht="17.25" customHeight="1" x14ac:dyDescent="0.25"/>
    <row r="746" s="13" customFormat="1" ht="17.25" customHeight="1" x14ac:dyDescent="0.25"/>
    <row r="747" s="13" customFormat="1" ht="17.25" customHeight="1" x14ac:dyDescent="0.25"/>
    <row r="748" s="13" customFormat="1" ht="17.2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theme="6"/>
  </sheetPr>
  <dimension ref="A1:W359"/>
  <sheetViews>
    <sheetView showGridLines="0" zoomScale="85" zoomScaleNormal="85" workbookViewId="0">
      <selection activeCell="Q18" sqref="A18:Q18"/>
    </sheetView>
  </sheetViews>
  <sheetFormatPr defaultRowHeight="15.75" x14ac:dyDescent="0.25"/>
  <cols>
    <col min="1" max="4" width="7" style="37" customWidth="1"/>
    <col min="5" max="5" width="3" style="38" customWidth="1"/>
    <col min="6" max="6" width="3" style="39" customWidth="1"/>
    <col min="7" max="7" width="7.125" style="37" customWidth="1"/>
    <col min="8" max="8" width="3.375" style="37" customWidth="1"/>
    <col min="9" max="9" width="9.625" style="38" customWidth="1"/>
    <col min="10" max="10" width="3" style="39" customWidth="1"/>
    <col min="11" max="11" width="6.25" style="38" customWidth="1"/>
    <col min="12" max="12" width="2.75" style="39" customWidth="1"/>
    <col min="13" max="13" width="13" style="37" customWidth="1"/>
    <col min="14" max="15" width="10.25" style="60" customWidth="1"/>
    <col min="16" max="16" width="8.125" style="40" customWidth="1"/>
    <col min="17" max="17" width="5.75" style="25" customWidth="1"/>
    <col min="18" max="18" width="9" style="13"/>
    <col min="19" max="19" width="9.25" style="13" customWidth="1"/>
    <col min="20" max="20" width="15.875" style="13" bestFit="1" customWidth="1"/>
    <col min="21" max="16384" width="9" style="13"/>
  </cols>
  <sheetData>
    <row r="1" spans="1:23" ht="24" customHeight="1" x14ac:dyDescent="0.25">
      <c r="N1" s="37">
        <v>123.5</v>
      </c>
      <c r="O1" s="37">
        <v>500</v>
      </c>
    </row>
    <row r="2" spans="1:23" ht="24" customHeight="1" x14ac:dyDescent="0.25">
      <c r="N2" s="37"/>
      <c r="O2" s="37"/>
    </row>
    <row r="3" spans="1:23" ht="24" customHeight="1" x14ac:dyDescent="0.25">
      <c r="D3" s="81" t="s">
        <v>2</v>
      </c>
      <c r="E3" s="73"/>
      <c r="F3" s="82"/>
      <c r="G3" s="82"/>
      <c r="H3" s="82"/>
      <c r="I3" s="84"/>
      <c r="J3" s="82"/>
      <c r="K3" s="73"/>
      <c r="L3" s="83"/>
      <c r="M3" s="87"/>
      <c r="N3" s="43" t="s">
        <v>1539</v>
      </c>
      <c r="O3" s="86"/>
      <c r="P3" s="85" t="s">
        <v>12</v>
      </c>
    </row>
    <row r="4" spans="1:23" ht="24" customHeight="1" x14ac:dyDescent="0.25">
      <c r="A4" s="41" t="s">
        <v>1351</v>
      </c>
      <c r="B4" s="42"/>
      <c r="C4" s="42"/>
      <c r="D4" s="74" t="s">
        <v>1351</v>
      </c>
      <c r="E4" s="75"/>
      <c r="F4" s="76"/>
      <c r="G4" s="77"/>
      <c r="H4" s="77"/>
      <c r="I4" s="74"/>
      <c r="J4" s="76"/>
      <c r="K4" s="74"/>
      <c r="L4" s="76"/>
      <c r="M4" s="88"/>
      <c r="N4" s="78" t="s">
        <v>1540</v>
      </c>
      <c r="O4" s="79" t="s">
        <v>1541</v>
      </c>
      <c r="P4" s="80" t="s">
        <v>1381</v>
      </c>
      <c r="Q4" s="36"/>
    </row>
    <row r="5" spans="1:23" ht="24" customHeight="1" x14ac:dyDescent="0.25">
      <c r="A5" s="44" t="s">
        <v>6</v>
      </c>
      <c r="B5" s="38">
        <v>1</v>
      </c>
      <c r="C5" s="38"/>
      <c r="D5" s="44" t="str">
        <f>"(D"&amp;B5&amp;")"</f>
        <v>(D1)</v>
      </c>
      <c r="E5" s="44" t="s">
        <v>1</v>
      </c>
      <c r="F5" s="45" t="s">
        <v>0</v>
      </c>
      <c r="G5" s="46" t="s">
        <v>1502</v>
      </c>
      <c r="H5" s="47" t="s">
        <v>7</v>
      </c>
      <c r="I5" s="44" t="s">
        <v>1503</v>
      </c>
      <c r="J5" s="45" t="s">
        <v>0</v>
      </c>
      <c r="K5" s="44" t="s">
        <v>636</v>
      </c>
      <c r="L5" s="45" t="s">
        <v>0</v>
      </c>
      <c r="M5" s="89" t="s">
        <v>1</v>
      </c>
      <c r="N5" s="62" t="e">
        <f ca="1">SUMIFS(OFFSET(#REF!,0,MATCH($N$1,#REF!,FALSE)-1,1000,1),#REF!,"="&amp;A5)</f>
        <v>#REF!</v>
      </c>
      <c r="O5" s="64" t="e">
        <f ca="1">SUMIFS(OFFSET(#REF!,0,MATCH($O$1,#REF!,FALSE)-1,1000,1),#REF!,"="&amp;A5)</f>
        <v>#REF!</v>
      </c>
      <c r="P5" s="48" t="e">
        <f>VLOOKUP(VLOOKUP(A5,Reactions!A2:W650,22,FALSE),$T$5:$U$10,2,FALSE)</f>
        <v>#N/A</v>
      </c>
      <c r="Q5" s="18"/>
      <c r="T5" s="13" t="s">
        <v>1337</v>
      </c>
      <c r="U5" s="13" t="s">
        <v>1033</v>
      </c>
      <c r="W5" s="13" t="s">
        <v>1537</v>
      </c>
    </row>
    <row r="6" spans="1:23" ht="24" customHeight="1" x14ac:dyDescent="0.25">
      <c r="A6" s="49" t="s">
        <v>1352</v>
      </c>
      <c r="B6" s="38">
        <f>B5+1</f>
        <v>2</v>
      </c>
      <c r="C6" s="38"/>
      <c r="D6" s="49" t="str">
        <f t="shared" ref="D6:D59" si="0">"(D"&amp;B6&amp;")"</f>
        <v>(D2)</v>
      </c>
      <c r="E6" s="50" t="s">
        <v>1</v>
      </c>
      <c r="F6" s="51" t="s">
        <v>0</v>
      </c>
      <c r="G6" s="52" t="s">
        <v>1502</v>
      </c>
      <c r="H6" s="47" t="s">
        <v>7</v>
      </c>
      <c r="I6" s="50" t="s">
        <v>1504</v>
      </c>
      <c r="J6" s="51" t="s">
        <v>0</v>
      </c>
      <c r="K6" s="50" t="s">
        <v>1</v>
      </c>
      <c r="L6" s="51"/>
      <c r="M6" s="90"/>
      <c r="N6" s="63" t="e">
        <f ca="1">SUMIFS(OFFSET(#REF!,0,MATCH($N$1,#REF!,FALSE)-1,1000,1),#REF!,"="&amp;A6)</f>
        <v>#REF!</v>
      </c>
      <c r="O6" s="65" t="e">
        <f ca="1">SUMIFS(OFFSET(#REF!,0,MATCH($O$1,#REF!,FALSE)-1,1000,1),#REF!,"="&amp;A6)</f>
        <v>#REF!</v>
      </c>
      <c r="P6" s="53" t="e">
        <f>VLOOKUP(VLOOKUP(A6,Reactions!A3:W651,22,FALSE),$T$5:$U$10,2,FALSE)</f>
        <v>#N/A</v>
      </c>
      <c r="Q6" s="18"/>
      <c r="S6" s="28"/>
      <c r="T6" s="13" t="s">
        <v>1336</v>
      </c>
      <c r="U6" s="13" t="s">
        <v>1034</v>
      </c>
      <c r="W6" s="13" t="s">
        <v>1543</v>
      </c>
    </row>
    <row r="7" spans="1:23" ht="24" customHeight="1" x14ac:dyDescent="0.25">
      <c r="A7" s="49" t="s">
        <v>1456</v>
      </c>
      <c r="B7" s="38">
        <f t="shared" ref="B7:B59" si="1">B6+1</f>
        <v>3</v>
      </c>
      <c r="C7" s="38"/>
      <c r="D7" s="49" t="str">
        <f t="shared" si="0"/>
        <v>(D3)</v>
      </c>
      <c r="E7" s="50" t="s">
        <v>1</v>
      </c>
      <c r="F7" s="51" t="s">
        <v>0</v>
      </c>
      <c r="G7" s="52" t="s">
        <v>1502</v>
      </c>
      <c r="H7" s="47" t="s">
        <v>7</v>
      </c>
      <c r="I7" s="50" t="s">
        <v>1505</v>
      </c>
      <c r="J7" s="51" t="s">
        <v>0</v>
      </c>
      <c r="K7" s="50" t="s">
        <v>1</v>
      </c>
      <c r="L7" s="47"/>
      <c r="M7" s="91"/>
      <c r="N7" s="63" t="e">
        <f ca="1">SUMIFS(OFFSET(#REF!,0,MATCH($N$1,#REF!,FALSE)-1,1000,1),#REF!,"="&amp;A7)</f>
        <v>#REF!</v>
      </c>
      <c r="O7" s="65" t="e">
        <f ca="1">SUMIFS(OFFSET(#REF!,0,MATCH($O$1,#REF!,FALSE)-1,1000,1),#REF!,"="&amp;A7)</f>
        <v>#REF!</v>
      </c>
      <c r="P7" s="54" t="e">
        <f>VLOOKUP(VLOOKUP(A7,Reactions!A3:W652,22,FALSE),$T$5:$U$10,2,FALSE)</f>
        <v>#N/A</v>
      </c>
      <c r="Q7" s="18"/>
      <c r="T7" s="13" t="s">
        <v>1347</v>
      </c>
      <c r="U7" s="13" t="s">
        <v>1034</v>
      </c>
      <c r="W7" s="13" t="s">
        <v>1543</v>
      </c>
    </row>
    <row r="8" spans="1:23" ht="24" customHeight="1" x14ac:dyDescent="0.25">
      <c r="A8" s="50" t="s">
        <v>13</v>
      </c>
      <c r="B8" s="38">
        <f t="shared" si="1"/>
        <v>4</v>
      </c>
      <c r="C8" s="38"/>
      <c r="D8" s="50" t="str">
        <f t="shared" si="0"/>
        <v>(D4)</v>
      </c>
      <c r="E8" s="50" t="s">
        <v>1</v>
      </c>
      <c r="F8" s="51" t="s">
        <v>0</v>
      </c>
      <c r="G8" s="52" t="s">
        <v>1502</v>
      </c>
      <c r="H8" s="47" t="s">
        <v>7</v>
      </c>
      <c r="I8" s="50" t="s">
        <v>1506</v>
      </c>
      <c r="J8" s="51" t="s">
        <v>0</v>
      </c>
      <c r="K8" s="50" t="s">
        <v>1</v>
      </c>
      <c r="L8" s="51"/>
      <c r="M8" s="90"/>
      <c r="N8" s="63" t="e">
        <f ca="1">SUMIFS(OFFSET(#REF!,0,MATCH($N$1,#REF!,FALSE)-1,1000,1),#REF!,"="&amp;A8)</f>
        <v>#REF!</v>
      </c>
      <c r="O8" s="65" t="e">
        <f ca="1">SUMIFS(OFFSET(#REF!,0,MATCH($O$1,#REF!,FALSE)-1,1000,1),#REF!,"="&amp;A8)</f>
        <v>#REF!</v>
      </c>
      <c r="P8" s="50" t="e">
        <f>VLOOKUP(VLOOKUP(A8,Reactions!A3:W653,22,FALSE),$T$5:$U$10,2,FALSE)</f>
        <v>#N/A</v>
      </c>
      <c r="S8" s="29"/>
      <c r="T8" s="13" t="s">
        <v>1349</v>
      </c>
      <c r="U8" s="13" t="s">
        <v>1035</v>
      </c>
      <c r="W8" s="13" t="s">
        <v>1542</v>
      </c>
    </row>
    <row r="9" spans="1:23" ht="24" customHeight="1" x14ac:dyDescent="0.25">
      <c r="A9" s="50" t="s">
        <v>14</v>
      </c>
      <c r="B9" s="38">
        <f t="shared" si="1"/>
        <v>5</v>
      </c>
      <c r="C9" s="38"/>
      <c r="D9" s="50" t="str">
        <f t="shared" si="0"/>
        <v>(D5)</v>
      </c>
      <c r="E9" s="50" t="s">
        <v>1</v>
      </c>
      <c r="F9" s="51" t="s">
        <v>0</v>
      </c>
      <c r="G9" s="52" t="s">
        <v>1502</v>
      </c>
      <c r="H9" s="47" t="s">
        <v>7</v>
      </c>
      <c r="I9" s="50" t="s">
        <v>1507</v>
      </c>
      <c r="J9" s="51" t="s">
        <v>0</v>
      </c>
      <c r="K9" s="50" t="s">
        <v>1</v>
      </c>
      <c r="L9" s="51"/>
      <c r="M9" s="90" t="s">
        <v>1535</v>
      </c>
      <c r="N9" s="63" t="e">
        <f ca="1">SUMIFS(OFFSET(#REF!,0,MATCH($N$1,#REF!,FALSE)-1,1000,1),#REF!,"="&amp;A9)</f>
        <v>#REF!</v>
      </c>
      <c r="O9" s="65" t="e">
        <f ca="1">SUMIFS(OFFSET(#REF!,0,MATCH($O$1,#REF!,FALSE)-1,1000,1),#REF!,"="&amp;A9)</f>
        <v>#REF!</v>
      </c>
      <c r="P9" s="50" t="e">
        <f>VLOOKUP(VLOOKUP(A9,Reactions!A3:W654,22,FALSE),$T$5:$U$10,2,FALSE)</f>
        <v>#N/A</v>
      </c>
      <c r="T9" s="13" t="s">
        <v>1350</v>
      </c>
      <c r="U9" s="13" t="s">
        <v>1036</v>
      </c>
      <c r="W9" s="13" t="s">
        <v>1538</v>
      </c>
    </row>
    <row r="10" spans="1:23" ht="24" customHeight="1" x14ac:dyDescent="0.25">
      <c r="A10" s="50" t="s">
        <v>15</v>
      </c>
      <c r="B10" s="38">
        <f t="shared" si="1"/>
        <v>6</v>
      </c>
      <c r="C10" s="38"/>
      <c r="D10" s="50" t="str">
        <f t="shared" si="0"/>
        <v>(D6)</v>
      </c>
      <c r="E10" s="50" t="s">
        <v>1</v>
      </c>
      <c r="F10" s="51" t="s">
        <v>0</v>
      </c>
      <c r="G10" s="52" t="s">
        <v>1502</v>
      </c>
      <c r="H10" s="47" t="s">
        <v>7</v>
      </c>
      <c r="I10" s="50" t="s">
        <v>1508</v>
      </c>
      <c r="J10" s="51" t="s">
        <v>0</v>
      </c>
      <c r="K10" s="50" t="s">
        <v>1053</v>
      </c>
      <c r="L10" s="51"/>
      <c r="M10" s="90"/>
      <c r="N10" s="63" t="e">
        <f ca="1">SUMIFS(OFFSET(#REF!,0,MATCH($N$1,#REF!,FALSE)-1,1000,1),#REF!,"="&amp;A10)</f>
        <v>#REF!</v>
      </c>
      <c r="O10" s="65" t="e">
        <f ca="1">SUMIFS(OFFSET(#REF!,0,MATCH($O$1,#REF!,FALSE)-1,1000,1),#REF!,"="&amp;A10)</f>
        <v>#REF!</v>
      </c>
      <c r="P10" s="50" t="e">
        <f>VLOOKUP(VLOOKUP(A10,Reactions!A3:W655,22,FALSE),$T$5:$U$10,2,FALSE)</f>
        <v>#N/A</v>
      </c>
      <c r="T10" s="13" t="s">
        <v>1348</v>
      </c>
      <c r="U10" s="13" t="s">
        <v>1037</v>
      </c>
      <c r="W10" s="13" t="s">
        <v>1544</v>
      </c>
    </row>
    <row r="11" spans="1:23" ht="24" customHeight="1" x14ac:dyDescent="0.25">
      <c r="A11" s="50" t="s">
        <v>16</v>
      </c>
      <c r="B11" s="38">
        <f t="shared" si="1"/>
        <v>7</v>
      </c>
      <c r="C11" s="38"/>
      <c r="D11" s="50" t="str">
        <f t="shared" si="0"/>
        <v>(D7)</v>
      </c>
      <c r="E11" s="50" t="s">
        <v>1</v>
      </c>
      <c r="F11" s="51" t="s">
        <v>0</v>
      </c>
      <c r="G11" s="52" t="s">
        <v>636</v>
      </c>
      <c r="H11" s="47" t="s">
        <v>7</v>
      </c>
      <c r="I11" s="50" t="s">
        <v>1503</v>
      </c>
      <c r="J11" s="51" t="s">
        <v>0</v>
      </c>
      <c r="K11" s="50" t="s">
        <v>1</v>
      </c>
      <c r="L11" s="55"/>
      <c r="M11" s="92"/>
      <c r="N11" s="63" t="e">
        <f ca="1">SUMIFS(OFFSET(#REF!,0,MATCH($N$1,#REF!,FALSE)-1,1000,1),#REF!,"="&amp;A11)</f>
        <v>#REF!</v>
      </c>
      <c r="O11" s="65" t="e">
        <f ca="1">SUMIFS(OFFSET(#REF!,0,MATCH($O$1,#REF!,FALSE)-1,1000,1),#REF!,"="&amp;A11)</f>
        <v>#REF!</v>
      </c>
      <c r="P11" s="50" t="e">
        <f>VLOOKUP(VLOOKUP(A11,Reactions!A3:W656,22,FALSE),$T$5:$U$10,2,FALSE)</f>
        <v>#N/A</v>
      </c>
    </row>
    <row r="12" spans="1:23" ht="24" customHeight="1" x14ac:dyDescent="0.25">
      <c r="A12" s="49" t="s">
        <v>1353</v>
      </c>
      <c r="B12" s="38">
        <f t="shared" si="1"/>
        <v>8</v>
      </c>
      <c r="C12" s="38"/>
      <c r="D12" s="49" t="str">
        <f t="shared" si="0"/>
        <v>(D8)</v>
      </c>
      <c r="E12" s="50" t="s">
        <v>1</v>
      </c>
      <c r="F12" s="51" t="s">
        <v>0</v>
      </c>
      <c r="G12" s="52" t="s">
        <v>636</v>
      </c>
      <c r="H12" s="47" t="s">
        <v>7</v>
      </c>
      <c r="I12" s="50" t="s">
        <v>1509</v>
      </c>
      <c r="J12" s="51" t="s">
        <v>0</v>
      </c>
      <c r="K12" s="50" t="s">
        <v>1</v>
      </c>
      <c r="L12" s="55"/>
      <c r="M12" s="92"/>
      <c r="N12" s="63" t="e">
        <f ca="1">SUMIFS(OFFSET(#REF!,0,MATCH($N$1,#REF!,FALSE)-1,1000,1),#REF!,"="&amp;A12)</f>
        <v>#REF!</v>
      </c>
      <c r="O12" s="65" t="e">
        <f ca="1">SUMIFS(OFFSET(#REF!,0,MATCH($O$1,#REF!,FALSE)-1,1000,1),#REF!,"="&amp;A12)</f>
        <v>#REF!</v>
      </c>
      <c r="P12" s="50" t="e">
        <f>VLOOKUP(VLOOKUP(A12,Reactions!A3:W657,22,FALSE),$T$5:$U$10,2,FALSE)</f>
        <v>#N/A</v>
      </c>
      <c r="T12"/>
    </row>
    <row r="13" spans="1:23" ht="24" customHeight="1" x14ac:dyDescent="0.25">
      <c r="A13" s="50" t="s">
        <v>17</v>
      </c>
      <c r="B13" s="38">
        <f t="shared" si="1"/>
        <v>9</v>
      </c>
      <c r="C13" s="38"/>
      <c r="D13" s="50" t="str">
        <f t="shared" si="0"/>
        <v>(D9)</v>
      </c>
      <c r="E13" s="50" t="s">
        <v>1</v>
      </c>
      <c r="F13" s="51" t="s">
        <v>0</v>
      </c>
      <c r="G13" s="52" t="s">
        <v>636</v>
      </c>
      <c r="H13" s="47" t="s">
        <v>7</v>
      </c>
      <c r="I13" s="50" t="s">
        <v>1510</v>
      </c>
      <c r="J13" s="51" t="s">
        <v>0</v>
      </c>
      <c r="K13" s="50" t="s">
        <v>1053</v>
      </c>
      <c r="L13" s="51"/>
      <c r="M13" s="90"/>
      <c r="N13" s="63" t="e">
        <f ca="1">SUMIFS(OFFSET(#REF!,0,MATCH($N$1,#REF!,FALSE)-1,1000,1),#REF!,"="&amp;A13)</f>
        <v>#REF!</v>
      </c>
      <c r="O13" s="65" t="e">
        <f ca="1">SUMIFS(OFFSET(#REF!,0,MATCH($O$1,#REF!,FALSE)-1,1000,1),#REF!,"="&amp;A13)</f>
        <v>#REF!</v>
      </c>
      <c r="P13" s="50" t="e">
        <f>VLOOKUP(VLOOKUP(A13,Reactions!A3:W658,22,FALSE),$T$5:$U$10,2,FALSE)</f>
        <v>#N/A</v>
      </c>
      <c r="T13"/>
    </row>
    <row r="14" spans="1:23" ht="24" customHeight="1" x14ac:dyDescent="0.25">
      <c r="A14" s="50" t="s">
        <v>18</v>
      </c>
      <c r="B14" s="38">
        <f t="shared" si="1"/>
        <v>10</v>
      </c>
      <c r="C14" s="38"/>
      <c r="D14" s="50" t="str">
        <f t="shared" si="0"/>
        <v>(D10)</v>
      </c>
      <c r="E14" s="50" t="s">
        <v>1</v>
      </c>
      <c r="F14" s="51" t="s">
        <v>0</v>
      </c>
      <c r="G14" s="52" t="s">
        <v>1511</v>
      </c>
      <c r="H14" s="47" t="s">
        <v>7</v>
      </c>
      <c r="I14" s="50" t="s">
        <v>1411</v>
      </c>
      <c r="J14" s="51"/>
      <c r="K14" s="50"/>
      <c r="L14" s="51"/>
      <c r="M14" s="90"/>
      <c r="N14" s="63" t="e">
        <f ca="1">SUMIFS(OFFSET(#REF!,0,MATCH($N$1,#REF!,FALSE)-1,1000,1),#REF!,"="&amp;A14)</f>
        <v>#REF!</v>
      </c>
      <c r="O14" s="65" t="e">
        <f ca="1">SUMIFS(OFFSET(#REF!,0,MATCH($O$1,#REF!,FALSE)-1,1000,1),#REF!,"="&amp;A14)</f>
        <v>#REF!</v>
      </c>
      <c r="P14" s="50" t="e">
        <f>VLOOKUP(VLOOKUP(A14,Reactions!A3:W659,22,FALSE),$T$5:$U$10,2,FALSE)</f>
        <v>#N/A</v>
      </c>
      <c r="T14"/>
    </row>
    <row r="15" spans="1:23" ht="24" customHeight="1" x14ac:dyDescent="0.25">
      <c r="A15" s="50" t="s">
        <v>1457</v>
      </c>
      <c r="B15" s="38">
        <f t="shared" si="1"/>
        <v>11</v>
      </c>
      <c r="C15" s="38"/>
      <c r="D15" s="50" t="str">
        <f t="shared" si="0"/>
        <v>(D11)</v>
      </c>
      <c r="E15" s="50" t="s">
        <v>1</v>
      </c>
      <c r="F15" s="51" t="s">
        <v>0</v>
      </c>
      <c r="G15" s="52" t="s">
        <v>1511</v>
      </c>
      <c r="H15" s="47" t="s">
        <v>7</v>
      </c>
      <c r="I15" s="52" t="s">
        <v>1512</v>
      </c>
      <c r="J15" s="51" t="s">
        <v>0</v>
      </c>
      <c r="K15" s="52" t="s">
        <v>1</v>
      </c>
      <c r="L15" s="51"/>
      <c r="M15" s="90"/>
      <c r="N15" s="63" t="e">
        <f ca="1">SUMIFS(OFFSET(#REF!,0,MATCH($N$1,#REF!,FALSE)-1,1000,1),#REF!,"="&amp;A15)</f>
        <v>#REF!</v>
      </c>
      <c r="O15" s="65" t="e">
        <f ca="1">SUMIFS(OFFSET(#REF!,0,MATCH($O$1,#REF!,FALSE)-1,1000,1),#REF!,"="&amp;A15)</f>
        <v>#REF!</v>
      </c>
      <c r="P15" s="50" t="e">
        <f>VLOOKUP(VLOOKUP(A15,Reactions!A3:W660,22,FALSE),$T$5:$U$10,2,FALSE)</f>
        <v>#N/A</v>
      </c>
      <c r="T15"/>
    </row>
    <row r="16" spans="1:23" ht="24" customHeight="1" x14ac:dyDescent="0.25">
      <c r="A16" s="49" t="s">
        <v>1354</v>
      </c>
      <c r="B16" s="38">
        <f t="shared" si="1"/>
        <v>12</v>
      </c>
      <c r="C16" s="38"/>
      <c r="D16" s="49" t="str">
        <f t="shared" si="0"/>
        <v>(D12)</v>
      </c>
      <c r="E16" s="50" t="s">
        <v>1</v>
      </c>
      <c r="F16" s="51" t="s">
        <v>0</v>
      </c>
      <c r="G16" s="52" t="s">
        <v>1511</v>
      </c>
      <c r="H16" s="47" t="s">
        <v>7</v>
      </c>
      <c r="I16" s="52" t="s">
        <v>1513</v>
      </c>
      <c r="J16" s="51" t="s">
        <v>0</v>
      </c>
      <c r="K16" s="52" t="s">
        <v>1</v>
      </c>
      <c r="L16" s="51"/>
      <c r="M16" s="90"/>
      <c r="N16" s="63" t="e">
        <f ca="1">SUMIFS(OFFSET(#REF!,0,MATCH($N$1,#REF!,FALSE)-1,1000,1),#REF!,"="&amp;A16)</f>
        <v>#REF!</v>
      </c>
      <c r="O16" s="65" t="e">
        <f ca="1">SUMIFS(OFFSET(#REF!,0,MATCH($O$1,#REF!,FALSE)-1,1000,1),#REF!,"="&amp;A16)</f>
        <v>#REF!</v>
      </c>
      <c r="P16" s="50" t="e">
        <f>VLOOKUP(VLOOKUP(A16,Reactions!A3:W661,22,FALSE),$T$5:$U$10,2,FALSE)</f>
        <v>#N/A</v>
      </c>
      <c r="T16"/>
    </row>
    <row r="17" spans="1:20" ht="24" customHeight="1" x14ac:dyDescent="0.25">
      <c r="A17" s="50" t="s">
        <v>1460</v>
      </c>
      <c r="B17" s="38">
        <f t="shared" si="1"/>
        <v>13</v>
      </c>
      <c r="C17" s="38"/>
      <c r="D17" s="50" t="str">
        <f t="shared" si="0"/>
        <v>(D13)</v>
      </c>
      <c r="E17" s="50" t="s">
        <v>1</v>
      </c>
      <c r="F17" s="51" t="s">
        <v>0</v>
      </c>
      <c r="G17" s="56" t="s">
        <v>1511</v>
      </c>
      <c r="H17" s="47" t="s">
        <v>7</v>
      </c>
      <c r="I17" s="52" t="s">
        <v>639</v>
      </c>
      <c r="J17" s="51" t="s">
        <v>0</v>
      </c>
      <c r="K17" s="50" t="s">
        <v>1514</v>
      </c>
      <c r="L17" s="51" t="s">
        <v>0</v>
      </c>
      <c r="M17" s="90" t="s">
        <v>1053</v>
      </c>
      <c r="N17" s="63" t="e">
        <f ca="1">SUMIFS(OFFSET(#REF!,0,MATCH($N$1,#REF!,FALSE)-1,1000,1),#REF!,"="&amp;A17)</f>
        <v>#REF!</v>
      </c>
      <c r="O17" s="65" t="e">
        <f ca="1">SUMIFS(OFFSET(#REF!,0,MATCH($O$1,#REF!,FALSE)-1,1000,1),#REF!,"="&amp;A17)</f>
        <v>#REF!</v>
      </c>
      <c r="P17" s="50" t="e">
        <f>VLOOKUP(VLOOKUP(A17,Reactions!A3:W662,22,FALSE),$T$5:$U$10,2,FALSE)</f>
        <v>#N/A</v>
      </c>
      <c r="T17"/>
    </row>
    <row r="18" spans="1:20" ht="24" customHeight="1" x14ac:dyDescent="0.25">
      <c r="A18" s="50" t="s">
        <v>1458</v>
      </c>
      <c r="B18" s="38">
        <f t="shared" si="1"/>
        <v>14</v>
      </c>
      <c r="C18" s="38"/>
      <c r="D18" s="50" t="str">
        <f t="shared" si="0"/>
        <v>(D14)</v>
      </c>
      <c r="E18" s="50" t="s">
        <v>1</v>
      </c>
      <c r="F18" s="51" t="s">
        <v>0</v>
      </c>
      <c r="G18" s="57" t="s">
        <v>1511</v>
      </c>
      <c r="H18" s="47" t="s">
        <v>7</v>
      </c>
      <c r="I18" s="50" t="s">
        <v>1515</v>
      </c>
      <c r="J18" s="51" t="s">
        <v>0</v>
      </c>
      <c r="K18" s="50" t="s">
        <v>1</v>
      </c>
      <c r="L18" s="51"/>
      <c r="M18" s="90"/>
      <c r="N18" s="63" t="e">
        <f ca="1">SUMIFS(OFFSET(#REF!,0,MATCH($N$1,#REF!,FALSE)-1,1000,1),#REF!,"="&amp;A18)</f>
        <v>#REF!</v>
      </c>
      <c r="O18" s="65" t="e">
        <f ca="1">SUMIFS(OFFSET(#REF!,0,MATCH($O$1,#REF!,FALSE)-1,1000,1),#REF!,"="&amp;A18)</f>
        <v>#REF!</v>
      </c>
      <c r="P18" s="50" t="e">
        <f>VLOOKUP(VLOOKUP(A18,Reactions!A3:W663,22,FALSE),$T$5:$U$10,2,FALSE)</f>
        <v>#N/A</v>
      </c>
      <c r="T18"/>
    </row>
    <row r="19" spans="1:20" ht="24" customHeight="1" x14ac:dyDescent="0.25">
      <c r="A19" s="50" t="s">
        <v>1459</v>
      </c>
      <c r="B19" s="38">
        <f t="shared" si="1"/>
        <v>15</v>
      </c>
      <c r="C19" s="38"/>
      <c r="D19" s="50" t="str">
        <f t="shared" si="0"/>
        <v>(D15)</v>
      </c>
      <c r="E19" s="50" t="s">
        <v>1</v>
      </c>
      <c r="F19" s="51" t="s">
        <v>0</v>
      </c>
      <c r="G19" s="52" t="s">
        <v>1511</v>
      </c>
      <c r="H19" s="47" t="s">
        <v>7</v>
      </c>
      <c r="I19" s="50" t="s">
        <v>1516</v>
      </c>
      <c r="J19" s="51" t="s">
        <v>0</v>
      </c>
      <c r="K19" s="50" t="s">
        <v>1</v>
      </c>
      <c r="L19" s="51"/>
      <c r="M19" s="90"/>
      <c r="N19" s="63" t="e">
        <f ca="1">SUMIFS(OFFSET(#REF!,0,MATCH($N$1,#REF!,FALSE)-1,1000,1),#REF!,"="&amp;A19)</f>
        <v>#REF!</v>
      </c>
      <c r="O19" s="65" t="e">
        <f ca="1">SUMIFS(OFFSET(#REF!,0,MATCH($O$1,#REF!,FALSE)-1,1000,1),#REF!,"="&amp;A19)</f>
        <v>#REF!</v>
      </c>
      <c r="P19" s="50" t="e">
        <f>VLOOKUP(VLOOKUP(A19,Reactions!A3:W664,22,FALSE),$T$5:$U$10,2,FALSE)</f>
        <v>#N/A</v>
      </c>
      <c r="T19"/>
    </row>
    <row r="20" spans="1:20" ht="24" customHeight="1" x14ac:dyDescent="0.25">
      <c r="A20" s="50" t="s">
        <v>19</v>
      </c>
      <c r="B20" s="38">
        <f t="shared" si="1"/>
        <v>16</v>
      </c>
      <c r="C20" s="38"/>
      <c r="D20" s="50" t="str">
        <f t="shared" si="0"/>
        <v>(D16)</v>
      </c>
      <c r="E20" s="50" t="s">
        <v>1</v>
      </c>
      <c r="F20" s="51" t="s">
        <v>0</v>
      </c>
      <c r="G20" s="52" t="s">
        <v>1511</v>
      </c>
      <c r="H20" s="47" t="s">
        <v>7</v>
      </c>
      <c r="I20" s="50" t="s">
        <v>1517</v>
      </c>
      <c r="J20" s="51" t="s">
        <v>0</v>
      </c>
      <c r="K20" s="50" t="s">
        <v>639</v>
      </c>
      <c r="L20" s="51" t="s">
        <v>0</v>
      </c>
      <c r="M20" s="90" t="s">
        <v>1</v>
      </c>
      <c r="N20" s="63" t="e">
        <f ca="1">SUMIFS(OFFSET(#REF!,0,MATCH($N$1,#REF!,FALSE)-1,1000,1),#REF!,"="&amp;A20)</f>
        <v>#REF!</v>
      </c>
      <c r="O20" s="65" t="e">
        <f ca="1">SUMIFS(OFFSET(#REF!,0,MATCH($O$1,#REF!,FALSE)-1,1000,1),#REF!,"="&amp;A20)</f>
        <v>#REF!</v>
      </c>
      <c r="P20" s="50" t="e">
        <f>VLOOKUP(VLOOKUP(A20,Reactions!A3:W665,22,FALSE),$T$5:$U$10,2,FALSE)</f>
        <v>#N/A</v>
      </c>
      <c r="T20"/>
    </row>
    <row r="21" spans="1:20" ht="24" customHeight="1" x14ac:dyDescent="0.25">
      <c r="A21" s="50" t="s">
        <v>1355</v>
      </c>
      <c r="B21" s="38">
        <f t="shared" si="1"/>
        <v>17</v>
      </c>
      <c r="C21" s="38"/>
      <c r="D21" s="50" t="str">
        <f t="shared" si="0"/>
        <v>(D17)</v>
      </c>
      <c r="E21" s="50" t="s">
        <v>1</v>
      </c>
      <c r="F21" s="51" t="s">
        <v>0</v>
      </c>
      <c r="G21" s="52" t="s">
        <v>1511</v>
      </c>
      <c r="H21" s="47" t="s">
        <v>7</v>
      </c>
      <c r="I21" s="50" t="s">
        <v>1517</v>
      </c>
      <c r="J21" s="51" t="s">
        <v>0</v>
      </c>
      <c r="K21" s="50" t="s">
        <v>639</v>
      </c>
      <c r="L21" s="51" t="s">
        <v>0</v>
      </c>
      <c r="M21" s="90" t="s">
        <v>1</v>
      </c>
      <c r="N21" s="63" t="e">
        <f ca="1">SUMIFS(OFFSET(#REF!,0,MATCH($N$1,#REF!,FALSE)-1,1000,1),#REF!,"="&amp;A21)</f>
        <v>#REF!</v>
      </c>
      <c r="O21" s="65" t="e">
        <f ca="1">SUMIFS(OFFSET(#REF!,0,MATCH($O$1,#REF!,FALSE)-1,1000,1),#REF!,"="&amp;A21)</f>
        <v>#REF!</v>
      </c>
      <c r="P21" s="50" t="e">
        <f>VLOOKUP(VLOOKUP(A21,Reactions!A3:W666,22,FALSE),$T$5:$U$10,2,FALSE)</f>
        <v>#N/A</v>
      </c>
      <c r="T21"/>
    </row>
    <row r="22" spans="1:20" ht="24" customHeight="1" x14ac:dyDescent="0.25">
      <c r="A22" s="50" t="s">
        <v>20</v>
      </c>
      <c r="B22" s="38">
        <f t="shared" si="1"/>
        <v>18</v>
      </c>
      <c r="C22" s="38"/>
      <c r="D22" s="50" t="str">
        <f t="shared" si="0"/>
        <v>(D18)</v>
      </c>
      <c r="E22" s="50" t="s">
        <v>1</v>
      </c>
      <c r="F22" s="51" t="s">
        <v>0</v>
      </c>
      <c r="G22" s="52" t="s">
        <v>1511</v>
      </c>
      <c r="H22" s="47" t="s">
        <v>7</v>
      </c>
      <c r="I22" s="50" t="s">
        <v>1518</v>
      </c>
      <c r="J22" s="51" t="s">
        <v>0</v>
      </c>
      <c r="K22" s="50" t="s">
        <v>1</v>
      </c>
      <c r="L22" s="51"/>
      <c r="M22" s="90"/>
      <c r="N22" s="63" t="e">
        <f ca="1">SUMIFS(OFFSET(#REF!,0,MATCH($N$1,#REF!,FALSE)-1,1000,1),#REF!,"="&amp;A22)</f>
        <v>#REF!</v>
      </c>
      <c r="O22" s="65" t="e">
        <f ca="1">SUMIFS(OFFSET(#REF!,0,MATCH($O$1,#REF!,FALSE)-1,1000,1),#REF!,"="&amp;A22)</f>
        <v>#REF!</v>
      </c>
      <c r="P22" s="50" t="e">
        <f>VLOOKUP(VLOOKUP(A22,Reactions!A3:W667,22,FALSE),$T$5:$U$10,2,FALSE)</f>
        <v>#N/A</v>
      </c>
      <c r="T22"/>
    </row>
    <row r="23" spans="1:20" ht="24" customHeight="1" x14ac:dyDescent="0.25">
      <c r="A23" s="50" t="s">
        <v>1356</v>
      </c>
      <c r="B23" s="38">
        <f t="shared" si="1"/>
        <v>19</v>
      </c>
      <c r="C23" s="38"/>
      <c r="D23" s="50" t="str">
        <f t="shared" si="0"/>
        <v>(D19)</v>
      </c>
      <c r="E23" s="50" t="s">
        <v>1</v>
      </c>
      <c r="F23" s="51" t="s">
        <v>0</v>
      </c>
      <c r="G23" s="50" t="s">
        <v>1518</v>
      </c>
      <c r="H23" s="47" t="s">
        <v>7</v>
      </c>
      <c r="I23" s="50" t="s">
        <v>1519</v>
      </c>
      <c r="J23" s="51" t="s">
        <v>0</v>
      </c>
      <c r="K23" s="50" t="s">
        <v>639</v>
      </c>
      <c r="L23" s="51"/>
      <c r="M23" s="90"/>
      <c r="N23" s="63" t="e">
        <f ca="1">SUMIFS(OFFSET(#REF!,0,MATCH($N$1,#REF!,FALSE)-1,1000,1),#REF!,"="&amp;A23)</f>
        <v>#REF!</v>
      </c>
      <c r="O23" s="65" t="e">
        <f ca="1">SUMIFS(OFFSET(#REF!,0,MATCH($O$1,#REF!,FALSE)-1,1000,1),#REF!,"="&amp;A23)</f>
        <v>#REF!</v>
      </c>
      <c r="P23" s="50" t="e">
        <f>VLOOKUP(VLOOKUP(A23,Reactions!A3:W668,22,FALSE),$T$5:$U$10,2,FALSE)</f>
        <v>#N/A</v>
      </c>
      <c r="T23"/>
    </row>
    <row r="24" spans="1:20" ht="24" customHeight="1" x14ac:dyDescent="0.25">
      <c r="A24" s="50" t="s">
        <v>1357</v>
      </c>
      <c r="B24" s="38">
        <f t="shared" si="1"/>
        <v>20</v>
      </c>
      <c r="C24" s="38"/>
      <c r="D24" s="50" t="str">
        <f t="shared" si="0"/>
        <v>(D20)</v>
      </c>
      <c r="E24" s="50" t="s">
        <v>1</v>
      </c>
      <c r="F24" s="51" t="s">
        <v>0</v>
      </c>
      <c r="G24" s="50" t="s">
        <v>1518</v>
      </c>
      <c r="H24" s="47" t="s">
        <v>7</v>
      </c>
      <c r="I24" s="50" t="s">
        <v>1515</v>
      </c>
      <c r="J24" s="51" t="s">
        <v>0</v>
      </c>
      <c r="K24" s="50" t="s">
        <v>1</v>
      </c>
      <c r="L24" s="51"/>
      <c r="M24" s="90"/>
      <c r="N24" s="63" t="e">
        <f ca="1">SUMIFS(OFFSET(#REF!,0,MATCH($N$1,#REF!,FALSE)-1,1000,1),#REF!,"="&amp;A24)</f>
        <v>#REF!</v>
      </c>
      <c r="O24" s="65" t="e">
        <f ca="1">SUMIFS(OFFSET(#REF!,0,MATCH($O$1,#REF!,FALSE)-1,1000,1),#REF!,"="&amp;A24)</f>
        <v>#REF!</v>
      </c>
      <c r="P24" s="50" t="e">
        <f>VLOOKUP(VLOOKUP(A24,Reactions!A3:W669,22,FALSE),$T$5:$U$10,2,FALSE)</f>
        <v>#N/A</v>
      </c>
      <c r="T24"/>
    </row>
    <row r="25" spans="1:20" ht="24" customHeight="1" x14ac:dyDescent="0.25">
      <c r="A25" s="50" t="s">
        <v>1358</v>
      </c>
      <c r="B25" s="38">
        <f t="shared" si="1"/>
        <v>21</v>
      </c>
      <c r="C25" s="38"/>
      <c r="D25" s="50" t="str">
        <f t="shared" si="0"/>
        <v>(D21)</v>
      </c>
      <c r="E25" s="50" t="s">
        <v>1</v>
      </c>
      <c r="F25" s="51" t="s">
        <v>0</v>
      </c>
      <c r="G25" s="50" t="s">
        <v>1518</v>
      </c>
      <c r="H25" s="47" t="s">
        <v>7</v>
      </c>
      <c r="I25" s="50" t="s">
        <v>1516</v>
      </c>
      <c r="J25" s="51" t="s">
        <v>0</v>
      </c>
      <c r="K25" s="50" t="s">
        <v>1</v>
      </c>
      <c r="L25" s="51"/>
      <c r="M25" s="90"/>
      <c r="N25" s="63" t="e">
        <f ca="1">SUMIFS(OFFSET(#REF!,0,MATCH($N$1,#REF!,FALSE)-1,1000,1),#REF!,"="&amp;A25)</f>
        <v>#REF!</v>
      </c>
      <c r="O25" s="65" t="e">
        <f ca="1">SUMIFS(OFFSET(#REF!,0,MATCH($O$1,#REF!,FALSE)-1,1000,1),#REF!,"="&amp;A25)</f>
        <v>#REF!</v>
      </c>
      <c r="P25" s="50" t="e">
        <f>VLOOKUP(VLOOKUP(A25,Reactions!A3:W670,22,FALSE),$T$5:$U$10,2,FALSE)</f>
        <v>#N/A</v>
      </c>
      <c r="T25"/>
    </row>
    <row r="26" spans="1:20" ht="24" customHeight="1" x14ac:dyDescent="0.25">
      <c r="A26" s="50" t="s">
        <v>1359</v>
      </c>
      <c r="B26" s="38">
        <f t="shared" si="1"/>
        <v>22</v>
      </c>
      <c r="C26" s="38"/>
      <c r="D26" s="50" t="str">
        <f t="shared" si="0"/>
        <v>(D22)</v>
      </c>
      <c r="E26" s="50" t="s">
        <v>1</v>
      </c>
      <c r="F26" s="51" t="s">
        <v>0</v>
      </c>
      <c r="G26" s="50" t="s">
        <v>1518</v>
      </c>
      <c r="H26" s="47" t="s">
        <v>7</v>
      </c>
      <c r="I26" s="50" t="s">
        <v>1411</v>
      </c>
      <c r="J26" s="51"/>
      <c r="K26" s="50"/>
      <c r="L26" s="51"/>
      <c r="M26" s="90"/>
      <c r="N26" s="63" t="e">
        <f ca="1">SUMIFS(OFFSET(#REF!,0,MATCH($N$1,#REF!,FALSE)-1,1000,1),#REF!,"="&amp;A26)</f>
        <v>#REF!</v>
      </c>
      <c r="O26" s="65" t="e">
        <f ca="1">SUMIFS(OFFSET(#REF!,0,MATCH($O$1,#REF!,FALSE)-1,1000,1),#REF!,"="&amp;A26)</f>
        <v>#REF!</v>
      </c>
      <c r="P26" s="50" t="e">
        <f>VLOOKUP(VLOOKUP(A26,Reactions!A3:W671,22,FALSE),$T$5:$U$10,2,FALSE)</f>
        <v>#N/A</v>
      </c>
      <c r="T26"/>
    </row>
    <row r="27" spans="1:20" ht="24" customHeight="1" x14ac:dyDescent="0.25">
      <c r="A27" s="50" t="s">
        <v>1360</v>
      </c>
      <c r="B27" s="38">
        <f t="shared" si="1"/>
        <v>23</v>
      </c>
      <c r="C27" s="38"/>
      <c r="D27" s="50" t="str">
        <f t="shared" si="0"/>
        <v>(D23)</v>
      </c>
      <c r="E27" s="50" t="s">
        <v>1</v>
      </c>
      <c r="F27" s="51" t="s">
        <v>0</v>
      </c>
      <c r="G27" s="50" t="s">
        <v>1518</v>
      </c>
      <c r="H27" s="47" t="s">
        <v>7</v>
      </c>
      <c r="I27" s="50" t="s">
        <v>1517</v>
      </c>
      <c r="J27" s="51" t="s">
        <v>0</v>
      </c>
      <c r="K27" s="50" t="s">
        <v>639</v>
      </c>
      <c r="L27" s="51"/>
      <c r="M27" s="90"/>
      <c r="N27" s="63" t="e">
        <f ca="1">SUMIFS(OFFSET(#REF!,0,MATCH($N$1,#REF!,FALSE)-1,1000,1),#REF!,"="&amp;A27)</f>
        <v>#REF!</v>
      </c>
      <c r="O27" s="65" t="e">
        <f ca="1">SUMIFS(OFFSET(#REF!,0,MATCH($O$1,#REF!,FALSE)-1,1000,1),#REF!,"="&amp;A27)</f>
        <v>#REF!</v>
      </c>
      <c r="P27" s="50" t="e">
        <f>VLOOKUP(VLOOKUP(A27,Reactions!A3:W672,22,FALSE),$T$5:$U$10,2,FALSE)</f>
        <v>#N/A</v>
      </c>
      <c r="T27"/>
    </row>
    <row r="28" spans="1:20" ht="24" customHeight="1" x14ac:dyDescent="0.25">
      <c r="A28" s="50" t="s">
        <v>1361</v>
      </c>
      <c r="B28" s="38">
        <f t="shared" si="1"/>
        <v>24</v>
      </c>
      <c r="C28" s="38"/>
      <c r="D28" s="50" t="str">
        <f t="shared" si="0"/>
        <v>(D24)</v>
      </c>
      <c r="E28" s="50" t="s">
        <v>1</v>
      </c>
      <c r="F28" s="51" t="s">
        <v>0</v>
      </c>
      <c r="G28" s="50" t="s">
        <v>1518</v>
      </c>
      <c r="H28" s="47" t="s">
        <v>7</v>
      </c>
      <c r="I28" s="58" t="s">
        <v>1520</v>
      </c>
      <c r="J28" s="51" t="s">
        <v>0</v>
      </c>
      <c r="K28" s="50" t="s">
        <v>1053</v>
      </c>
      <c r="L28" s="51"/>
      <c r="M28" s="90"/>
      <c r="N28" s="63" t="e">
        <f ca="1">SUMIFS(OFFSET(#REF!,0,MATCH($N$1,#REF!,FALSE)-1,1000,1),#REF!,"="&amp;A28)</f>
        <v>#REF!</v>
      </c>
      <c r="O28" s="65" t="e">
        <f ca="1">SUMIFS(OFFSET(#REF!,0,MATCH($O$1,#REF!,FALSE)-1,1000,1),#REF!,"="&amp;A28)</f>
        <v>#REF!</v>
      </c>
      <c r="P28" s="50" t="e">
        <f>VLOOKUP(VLOOKUP(A28,Reactions!A3:W673,22,FALSE),$T$5:$U$10,2,FALSE)</f>
        <v>#N/A</v>
      </c>
      <c r="T28"/>
    </row>
    <row r="29" spans="1:20" ht="24" customHeight="1" x14ac:dyDescent="0.25">
      <c r="A29" s="50" t="s">
        <v>1362</v>
      </c>
      <c r="B29" s="38">
        <f t="shared" si="1"/>
        <v>25</v>
      </c>
      <c r="C29" s="38"/>
      <c r="D29" s="50" t="str">
        <f t="shared" si="0"/>
        <v>(D25)</v>
      </c>
      <c r="E29" s="50" t="s">
        <v>1</v>
      </c>
      <c r="F29" s="51" t="s">
        <v>0</v>
      </c>
      <c r="G29" s="50" t="s">
        <v>1515</v>
      </c>
      <c r="H29" s="47" t="s">
        <v>7</v>
      </c>
      <c r="I29" s="50" t="s">
        <v>1519</v>
      </c>
      <c r="J29" s="51" t="s">
        <v>0</v>
      </c>
      <c r="K29" s="50" t="s">
        <v>639</v>
      </c>
      <c r="L29" s="51"/>
      <c r="M29" s="90"/>
      <c r="N29" s="63" t="e">
        <f ca="1">SUMIFS(OFFSET(#REF!,0,MATCH($N$1,#REF!,FALSE)-1,1000,1),#REF!,"="&amp;A29)</f>
        <v>#REF!</v>
      </c>
      <c r="O29" s="65" t="e">
        <f ca="1">SUMIFS(OFFSET(#REF!,0,MATCH($O$1,#REF!,FALSE)-1,1000,1),#REF!,"="&amp;A29)</f>
        <v>#REF!</v>
      </c>
      <c r="P29" s="50" t="e">
        <f>VLOOKUP(VLOOKUP(A29,Reactions!A3:W674,22,FALSE),$T$5:$U$10,2,FALSE)</f>
        <v>#N/A</v>
      </c>
      <c r="T29"/>
    </row>
    <row r="30" spans="1:20" ht="24" customHeight="1" x14ac:dyDescent="0.25">
      <c r="A30" s="50" t="s">
        <v>1363</v>
      </c>
      <c r="B30" s="38">
        <f t="shared" si="1"/>
        <v>26</v>
      </c>
      <c r="C30" s="38"/>
      <c r="D30" s="50" t="str">
        <f t="shared" si="0"/>
        <v>(D26)</v>
      </c>
      <c r="E30" s="50" t="s">
        <v>1</v>
      </c>
      <c r="F30" s="51" t="s">
        <v>0</v>
      </c>
      <c r="G30" s="50" t="s">
        <v>1515</v>
      </c>
      <c r="H30" s="47" t="s">
        <v>7</v>
      </c>
      <c r="I30" s="50" t="s">
        <v>1516</v>
      </c>
      <c r="J30" s="51" t="s">
        <v>0</v>
      </c>
      <c r="K30" s="50" t="s">
        <v>1</v>
      </c>
      <c r="L30" s="51"/>
      <c r="M30" s="90"/>
      <c r="N30" s="63" t="e">
        <f ca="1">SUMIFS(OFFSET(#REF!,0,MATCH($N$1,#REF!,FALSE)-1,1000,1),#REF!,"="&amp;A30)</f>
        <v>#REF!</v>
      </c>
      <c r="O30" s="65" t="e">
        <f ca="1">SUMIFS(OFFSET(#REF!,0,MATCH($O$1,#REF!,FALSE)-1,1000,1),#REF!,"="&amp;A30)</f>
        <v>#REF!</v>
      </c>
      <c r="P30" s="50" t="e">
        <f>VLOOKUP(VLOOKUP(A30,Reactions!A3:W675,22,FALSE),$T$5:$U$10,2,FALSE)</f>
        <v>#N/A</v>
      </c>
      <c r="T30"/>
    </row>
    <row r="31" spans="1:20" ht="24" customHeight="1" x14ac:dyDescent="0.25">
      <c r="A31" s="50" t="s">
        <v>1364</v>
      </c>
      <c r="B31" s="38">
        <f t="shared" si="1"/>
        <v>27</v>
      </c>
      <c r="C31" s="38"/>
      <c r="D31" s="50" t="str">
        <f t="shared" si="0"/>
        <v>(D27)</v>
      </c>
      <c r="E31" s="50" t="s">
        <v>1</v>
      </c>
      <c r="F31" s="51" t="s">
        <v>0</v>
      </c>
      <c r="G31" s="50" t="s">
        <v>1515</v>
      </c>
      <c r="H31" s="47" t="s">
        <v>7</v>
      </c>
      <c r="I31" s="50" t="s">
        <v>1411</v>
      </c>
      <c r="J31" s="51"/>
      <c r="K31" s="50"/>
      <c r="L31" s="51"/>
      <c r="M31" s="90"/>
      <c r="N31" s="63" t="e">
        <f ca="1">SUMIFS(OFFSET(#REF!,0,MATCH($N$1,#REF!,FALSE)-1,1000,1),#REF!,"="&amp;A31)</f>
        <v>#REF!</v>
      </c>
      <c r="O31" s="65" t="e">
        <f ca="1">SUMIFS(OFFSET(#REF!,0,MATCH($O$1,#REF!,FALSE)-1,1000,1),#REF!,"="&amp;A31)</f>
        <v>#REF!</v>
      </c>
      <c r="P31" s="50" t="e">
        <f>VLOOKUP(VLOOKUP(A31,Reactions!A3:W676,22,FALSE),$T$5:$U$10,2,FALSE)</f>
        <v>#N/A</v>
      </c>
      <c r="T31"/>
    </row>
    <row r="32" spans="1:20" ht="24" customHeight="1" x14ac:dyDescent="0.25">
      <c r="A32" s="50" t="s">
        <v>1365</v>
      </c>
      <c r="B32" s="38">
        <f t="shared" si="1"/>
        <v>28</v>
      </c>
      <c r="C32" s="38"/>
      <c r="D32" s="50" t="str">
        <f t="shared" si="0"/>
        <v>(D28)</v>
      </c>
      <c r="E32" s="50" t="s">
        <v>1</v>
      </c>
      <c r="F32" s="51" t="s">
        <v>0</v>
      </c>
      <c r="G32" s="50" t="s">
        <v>1515</v>
      </c>
      <c r="H32" s="47" t="s">
        <v>7</v>
      </c>
      <c r="I32" s="50" t="s">
        <v>1517</v>
      </c>
      <c r="J32" s="51" t="s">
        <v>0</v>
      </c>
      <c r="K32" s="50" t="s">
        <v>639</v>
      </c>
      <c r="L32" s="51"/>
      <c r="M32" s="90"/>
      <c r="N32" s="63" t="e">
        <f ca="1">SUMIFS(OFFSET(#REF!,0,MATCH($N$1,#REF!,FALSE)-1,1000,1),#REF!,"="&amp;A32)</f>
        <v>#REF!</v>
      </c>
      <c r="O32" s="65" t="e">
        <f ca="1">SUMIFS(OFFSET(#REF!,0,MATCH($O$1,#REF!,FALSE)-1,1000,1),#REF!,"="&amp;A32)</f>
        <v>#REF!</v>
      </c>
      <c r="P32" s="50" t="e">
        <f>VLOOKUP(VLOOKUP(A32,Reactions!A3:W677,22,FALSE),$T$5:$U$10,2,FALSE)</f>
        <v>#N/A</v>
      </c>
      <c r="T32"/>
    </row>
    <row r="33" spans="1:20" ht="24" customHeight="1" x14ac:dyDescent="0.25">
      <c r="A33" s="50" t="s">
        <v>1366</v>
      </c>
      <c r="B33" s="38">
        <f t="shared" si="1"/>
        <v>29</v>
      </c>
      <c r="C33" s="38"/>
      <c r="D33" s="50" t="str">
        <f t="shared" si="0"/>
        <v>(D29)</v>
      </c>
      <c r="E33" s="50" t="s">
        <v>1</v>
      </c>
      <c r="F33" s="51" t="s">
        <v>0</v>
      </c>
      <c r="G33" s="50" t="s">
        <v>1515</v>
      </c>
      <c r="H33" s="47" t="s">
        <v>7</v>
      </c>
      <c r="I33" s="58" t="s">
        <v>1520</v>
      </c>
      <c r="J33" s="51" t="s">
        <v>0</v>
      </c>
      <c r="K33" s="50" t="s">
        <v>1053</v>
      </c>
      <c r="L33" s="51"/>
      <c r="M33" s="90"/>
      <c r="N33" s="63" t="e">
        <f ca="1">SUMIFS(OFFSET(#REF!,0,MATCH($N$1,#REF!,FALSE)-1,1000,1),#REF!,"="&amp;A33)</f>
        <v>#REF!</v>
      </c>
      <c r="O33" s="65" t="e">
        <f ca="1">SUMIFS(OFFSET(#REF!,0,MATCH($O$1,#REF!,FALSE)-1,1000,1),#REF!,"="&amp;A33)</f>
        <v>#REF!</v>
      </c>
      <c r="P33" s="50" t="e">
        <f>VLOOKUP(VLOOKUP(A33,Reactions!A3:W678,22,FALSE),$T$5:$U$10,2,FALSE)</f>
        <v>#N/A</v>
      </c>
      <c r="T33"/>
    </row>
    <row r="34" spans="1:20" ht="24" customHeight="1" x14ac:dyDescent="0.25">
      <c r="A34" s="50" t="s">
        <v>1367</v>
      </c>
      <c r="B34" s="38">
        <f t="shared" si="1"/>
        <v>30</v>
      </c>
      <c r="C34" s="38"/>
      <c r="D34" s="50" t="str">
        <f t="shared" si="0"/>
        <v>(D30)</v>
      </c>
      <c r="E34" s="50" t="s">
        <v>1</v>
      </c>
      <c r="F34" s="51" t="s">
        <v>0</v>
      </c>
      <c r="G34" s="50" t="s">
        <v>1521</v>
      </c>
      <c r="H34" s="47" t="s">
        <v>7</v>
      </c>
      <c r="I34" s="50" t="s">
        <v>1519</v>
      </c>
      <c r="J34" s="51" t="s">
        <v>0</v>
      </c>
      <c r="K34" s="50" t="s">
        <v>639</v>
      </c>
      <c r="L34" s="51"/>
      <c r="M34" s="90"/>
      <c r="N34" s="63" t="e">
        <f ca="1">SUMIFS(OFFSET(#REF!,0,MATCH($N$1,#REF!,FALSE)-1,1000,1),#REF!,"="&amp;A34)</f>
        <v>#REF!</v>
      </c>
      <c r="O34" s="65" t="e">
        <f ca="1">SUMIFS(OFFSET(#REF!,0,MATCH($O$1,#REF!,FALSE)-1,1000,1),#REF!,"="&amp;A34)</f>
        <v>#REF!</v>
      </c>
      <c r="P34" s="50" t="e">
        <f>VLOOKUP(VLOOKUP(A34,Reactions!A3:W679,22,FALSE),$T$5:$U$10,2,FALSE)</f>
        <v>#N/A</v>
      </c>
      <c r="T34"/>
    </row>
    <row r="35" spans="1:20" ht="24" customHeight="1" x14ac:dyDescent="0.25">
      <c r="A35" s="50" t="s">
        <v>1368</v>
      </c>
      <c r="B35" s="38">
        <f t="shared" si="1"/>
        <v>31</v>
      </c>
      <c r="C35" s="38"/>
      <c r="D35" s="50" t="str">
        <f t="shared" si="0"/>
        <v>(D31)</v>
      </c>
      <c r="E35" s="50" t="s">
        <v>1</v>
      </c>
      <c r="F35" s="51" t="s">
        <v>0</v>
      </c>
      <c r="G35" s="50" t="s">
        <v>1521</v>
      </c>
      <c r="H35" s="47" t="s">
        <v>7</v>
      </c>
      <c r="I35" s="50" t="s">
        <v>1516</v>
      </c>
      <c r="J35" s="51" t="s">
        <v>0</v>
      </c>
      <c r="K35" s="50" t="s">
        <v>1</v>
      </c>
      <c r="L35" s="51"/>
      <c r="M35" s="90"/>
      <c r="N35" s="63" t="e">
        <f ca="1">SUMIFS(OFFSET(#REF!,0,MATCH($N$1,#REF!,FALSE)-1,1000,1),#REF!,"="&amp;A35)</f>
        <v>#REF!</v>
      </c>
      <c r="O35" s="65" t="e">
        <f ca="1">SUMIFS(OFFSET(#REF!,0,MATCH($O$1,#REF!,FALSE)-1,1000,1),#REF!,"="&amp;A35)</f>
        <v>#REF!</v>
      </c>
      <c r="P35" s="50" t="e">
        <f>VLOOKUP(VLOOKUP(A35,Reactions!A3:W680,22,FALSE),$T$5:$U$10,2,FALSE)</f>
        <v>#N/A</v>
      </c>
      <c r="T35"/>
    </row>
    <row r="36" spans="1:20" ht="24" customHeight="1" x14ac:dyDescent="0.25">
      <c r="A36" s="50" t="s">
        <v>1369</v>
      </c>
      <c r="B36" s="38">
        <f t="shared" si="1"/>
        <v>32</v>
      </c>
      <c r="C36" s="38"/>
      <c r="D36" s="50" t="str">
        <f t="shared" si="0"/>
        <v>(D32)</v>
      </c>
      <c r="E36" s="50" t="s">
        <v>1</v>
      </c>
      <c r="F36" s="51" t="s">
        <v>0</v>
      </c>
      <c r="G36" s="50" t="s">
        <v>1521</v>
      </c>
      <c r="H36" s="47" t="s">
        <v>7</v>
      </c>
      <c r="I36" s="50" t="s">
        <v>1411</v>
      </c>
      <c r="J36" s="51"/>
      <c r="K36" s="50"/>
      <c r="L36" s="51"/>
      <c r="M36" s="90"/>
      <c r="N36" s="63" t="e">
        <f ca="1">SUMIFS(OFFSET(#REF!,0,MATCH($N$1,#REF!,FALSE)-1,1000,1),#REF!,"="&amp;A36)</f>
        <v>#REF!</v>
      </c>
      <c r="O36" s="65" t="e">
        <f ca="1">SUMIFS(OFFSET(#REF!,0,MATCH($O$1,#REF!,FALSE)-1,1000,1),#REF!,"="&amp;A36)</f>
        <v>#REF!</v>
      </c>
      <c r="P36" s="50" t="e">
        <f>VLOOKUP(VLOOKUP(A36,Reactions!A3:W681,22,FALSE),$T$5:$U$10,2,FALSE)</f>
        <v>#N/A</v>
      </c>
      <c r="T36"/>
    </row>
    <row r="37" spans="1:20" ht="24" customHeight="1" x14ac:dyDescent="0.25">
      <c r="A37" s="50" t="s">
        <v>1370</v>
      </c>
      <c r="B37" s="38">
        <f t="shared" si="1"/>
        <v>33</v>
      </c>
      <c r="C37" s="38"/>
      <c r="D37" s="50" t="str">
        <f t="shared" si="0"/>
        <v>(D33)</v>
      </c>
      <c r="E37" s="50" t="s">
        <v>1</v>
      </c>
      <c r="F37" s="51" t="s">
        <v>0</v>
      </c>
      <c r="G37" s="50" t="s">
        <v>1521</v>
      </c>
      <c r="H37" s="47" t="s">
        <v>7</v>
      </c>
      <c r="I37" s="50" t="s">
        <v>1517</v>
      </c>
      <c r="J37" s="51" t="s">
        <v>0</v>
      </c>
      <c r="K37" s="50" t="s">
        <v>639</v>
      </c>
      <c r="L37" s="51"/>
      <c r="M37" s="90"/>
      <c r="N37" s="63" t="e">
        <f ca="1">SUMIFS(OFFSET(#REF!,0,MATCH($N$1,#REF!,FALSE)-1,1000,1),#REF!,"="&amp;A37)</f>
        <v>#REF!</v>
      </c>
      <c r="O37" s="65" t="e">
        <f ca="1">SUMIFS(OFFSET(#REF!,0,MATCH($O$1,#REF!,FALSE)-1,1000,1),#REF!,"="&amp;A37)</f>
        <v>#REF!</v>
      </c>
      <c r="P37" s="50" t="e">
        <f>VLOOKUP(VLOOKUP(A37,Reactions!A3:W682,22,FALSE),$T$5:$U$10,2,FALSE)</f>
        <v>#N/A</v>
      </c>
      <c r="T37"/>
    </row>
    <row r="38" spans="1:20" ht="24" customHeight="1" x14ac:dyDescent="0.25">
      <c r="A38" s="50" t="s">
        <v>1371</v>
      </c>
      <c r="B38" s="38">
        <f t="shared" si="1"/>
        <v>34</v>
      </c>
      <c r="C38" s="38"/>
      <c r="D38" s="50" t="str">
        <f t="shared" si="0"/>
        <v>(D34)</v>
      </c>
      <c r="E38" s="50" t="s">
        <v>1</v>
      </c>
      <c r="F38" s="51" t="s">
        <v>0</v>
      </c>
      <c r="G38" s="50" t="s">
        <v>1521</v>
      </c>
      <c r="H38" s="47" t="s">
        <v>7</v>
      </c>
      <c r="I38" s="58" t="s">
        <v>1520</v>
      </c>
      <c r="J38" s="51" t="s">
        <v>0</v>
      </c>
      <c r="K38" s="50" t="s">
        <v>1053</v>
      </c>
      <c r="L38" s="51"/>
      <c r="M38" s="90"/>
      <c r="N38" s="63" t="e">
        <f ca="1">SUMIFS(OFFSET(#REF!,0,MATCH($N$1,#REF!,FALSE)-1,1000,1),#REF!,"="&amp;A38)</f>
        <v>#REF!</v>
      </c>
      <c r="O38" s="65" t="e">
        <f ca="1">SUMIFS(OFFSET(#REF!,0,MATCH($O$1,#REF!,FALSE)-1,1000,1),#REF!,"="&amp;A38)</f>
        <v>#REF!</v>
      </c>
      <c r="P38" s="50" t="e">
        <f>VLOOKUP(VLOOKUP(A38,Reactions!A3:W683,22,FALSE),$T$5:$U$10,2,FALSE)</f>
        <v>#N/A</v>
      </c>
      <c r="T38"/>
    </row>
    <row r="39" spans="1:20" ht="24" customHeight="1" x14ac:dyDescent="0.25">
      <c r="A39" s="50" t="s">
        <v>21</v>
      </c>
      <c r="B39" s="38">
        <f t="shared" si="1"/>
        <v>35</v>
      </c>
      <c r="C39" s="38"/>
      <c r="D39" s="50" t="str">
        <f t="shared" si="0"/>
        <v>(D35)</v>
      </c>
      <c r="E39" s="50" t="s">
        <v>1</v>
      </c>
      <c r="F39" s="51" t="s">
        <v>0</v>
      </c>
      <c r="G39" s="52" t="s">
        <v>1511</v>
      </c>
      <c r="H39" s="47" t="s">
        <v>7</v>
      </c>
      <c r="I39" s="58" t="s">
        <v>1520</v>
      </c>
      <c r="J39" s="51" t="s">
        <v>0</v>
      </c>
      <c r="K39" s="50" t="s">
        <v>1053</v>
      </c>
      <c r="L39" s="51"/>
      <c r="M39" s="90"/>
      <c r="N39" s="63" t="e">
        <f ca="1">SUMIFS(OFFSET(#REF!,0,MATCH($N$1,#REF!,FALSE)-1,1000,1),#REF!,"="&amp;A39)</f>
        <v>#REF!</v>
      </c>
      <c r="O39" s="65" t="e">
        <f ca="1">SUMIFS(OFFSET(#REF!,0,MATCH($O$1,#REF!,FALSE)-1,1000,1),#REF!,"="&amp;A39)</f>
        <v>#REF!</v>
      </c>
      <c r="P39" s="50" t="e">
        <f>VLOOKUP(VLOOKUP(A39,Reactions!A3:W684,22,FALSE),$T$5:$U$10,2,FALSE)</f>
        <v>#N/A</v>
      </c>
      <c r="T39"/>
    </row>
    <row r="40" spans="1:20" ht="24" customHeight="1" x14ac:dyDescent="0.25">
      <c r="A40" s="50" t="s">
        <v>23</v>
      </c>
      <c r="B40" s="38">
        <f t="shared" si="1"/>
        <v>36</v>
      </c>
      <c r="C40" s="38"/>
      <c r="D40" s="50" t="str">
        <f t="shared" si="0"/>
        <v>(D36)</v>
      </c>
      <c r="E40" s="50" t="s">
        <v>1</v>
      </c>
      <c r="F40" s="51" t="s">
        <v>0</v>
      </c>
      <c r="G40" s="52" t="s">
        <v>639</v>
      </c>
      <c r="H40" s="47" t="s">
        <v>7</v>
      </c>
      <c r="I40" s="50" t="s">
        <v>1517</v>
      </c>
      <c r="J40" s="51" t="s">
        <v>0</v>
      </c>
      <c r="K40" s="50" t="s">
        <v>1</v>
      </c>
      <c r="L40" s="51"/>
      <c r="M40" s="90"/>
      <c r="N40" s="63" t="e">
        <f ca="1">SUMIFS(OFFSET(#REF!,0,MATCH($N$1,#REF!,FALSE)-1,1000,1),#REF!,"="&amp;A40)</f>
        <v>#REF!</v>
      </c>
      <c r="O40" s="65" t="e">
        <f ca="1">SUMIFS(OFFSET(#REF!,0,MATCH($O$1,#REF!,FALSE)-1,1000,1),#REF!,"="&amp;A40)</f>
        <v>#REF!</v>
      </c>
      <c r="P40" s="50" t="e">
        <f>VLOOKUP(VLOOKUP(A40,Reactions!A3:W685,22,FALSE),$T$5:$U$10,2,FALSE)</f>
        <v>#N/A</v>
      </c>
      <c r="T40"/>
    </row>
    <row r="41" spans="1:20" ht="24" customHeight="1" x14ac:dyDescent="0.25">
      <c r="A41" s="50" t="s">
        <v>24</v>
      </c>
      <c r="B41" s="38">
        <f t="shared" si="1"/>
        <v>37</v>
      </c>
      <c r="C41" s="38"/>
      <c r="D41" s="50" t="str">
        <f t="shared" si="0"/>
        <v>(D37)</v>
      </c>
      <c r="E41" s="50" t="s">
        <v>1</v>
      </c>
      <c r="F41" s="51" t="s">
        <v>0</v>
      </c>
      <c r="G41" s="52" t="s">
        <v>639</v>
      </c>
      <c r="H41" s="47" t="s">
        <v>7</v>
      </c>
      <c r="I41" s="50" t="s">
        <v>1514</v>
      </c>
      <c r="J41" s="51" t="s">
        <v>0</v>
      </c>
      <c r="K41" s="50" t="s">
        <v>1053</v>
      </c>
      <c r="L41" s="51"/>
      <c r="M41" s="90"/>
      <c r="N41" s="63" t="e">
        <f ca="1">SUMIFS(OFFSET(#REF!,0,MATCH($N$1,#REF!,FALSE)-1,1000,1),#REF!,"="&amp;A41)</f>
        <v>#REF!</v>
      </c>
      <c r="O41" s="65" t="e">
        <f ca="1">SUMIFS(OFFSET(#REF!,0,MATCH($O$1,#REF!,FALSE)-1,1000,1),#REF!,"="&amp;A41)</f>
        <v>#REF!</v>
      </c>
      <c r="P41" s="50" t="e">
        <f>VLOOKUP(VLOOKUP(A41,Reactions!A3:W686,22,FALSE),$T$5:$U$10,2,FALSE)</f>
        <v>#N/A</v>
      </c>
      <c r="T41"/>
    </row>
    <row r="42" spans="1:20" ht="24" customHeight="1" x14ac:dyDescent="0.25">
      <c r="A42" s="50" t="s">
        <v>25</v>
      </c>
      <c r="B42" s="38">
        <f t="shared" si="1"/>
        <v>38</v>
      </c>
      <c r="C42" s="38"/>
      <c r="D42" s="50" t="str">
        <f t="shared" si="0"/>
        <v>(D38)</v>
      </c>
      <c r="E42" s="50" t="s">
        <v>1</v>
      </c>
      <c r="F42" s="51" t="s">
        <v>0</v>
      </c>
      <c r="G42" s="52" t="s">
        <v>1522</v>
      </c>
      <c r="H42" s="47" t="s">
        <v>7</v>
      </c>
      <c r="I42" s="50" t="s">
        <v>1523</v>
      </c>
      <c r="J42" s="51" t="s">
        <v>0</v>
      </c>
      <c r="K42" s="50" t="s">
        <v>1053</v>
      </c>
      <c r="L42" s="51"/>
      <c r="M42" s="90"/>
      <c r="N42" s="63" t="e">
        <f ca="1">SUMIFS(OFFSET(#REF!,0,MATCH($N$1,#REF!,FALSE)-1,1000,1),#REF!,"="&amp;A42)</f>
        <v>#REF!</v>
      </c>
      <c r="O42" s="65" t="e">
        <f ca="1">SUMIFS(OFFSET(#REF!,0,MATCH($O$1,#REF!,FALSE)-1,1000,1),#REF!,"="&amp;A42)</f>
        <v>#REF!</v>
      </c>
      <c r="P42" s="50" t="e">
        <f>VLOOKUP(VLOOKUP(A42,Reactions!A3:W687,22,FALSE),$T$5:$U$10,2,FALSE)</f>
        <v>#N/A</v>
      </c>
      <c r="T42"/>
    </row>
    <row r="43" spans="1:20" ht="24" customHeight="1" x14ac:dyDescent="0.25">
      <c r="A43" s="50" t="s">
        <v>26</v>
      </c>
      <c r="B43" s="38">
        <f t="shared" si="1"/>
        <v>39</v>
      </c>
      <c r="C43" s="38"/>
      <c r="D43" s="50" t="str">
        <f t="shared" si="0"/>
        <v>(D39)</v>
      </c>
      <c r="E43" s="50" t="s">
        <v>1</v>
      </c>
      <c r="F43" s="51" t="s">
        <v>0</v>
      </c>
      <c r="G43" s="52" t="s">
        <v>1522</v>
      </c>
      <c r="H43" s="47" t="s">
        <v>7</v>
      </c>
      <c r="I43" s="50" t="s">
        <v>1524</v>
      </c>
      <c r="J43" s="47" t="s">
        <v>0</v>
      </c>
      <c r="K43" s="50" t="s">
        <v>653</v>
      </c>
      <c r="L43" s="51" t="s">
        <v>0</v>
      </c>
      <c r="M43" s="90" t="s">
        <v>1053</v>
      </c>
      <c r="N43" s="63" t="e">
        <f ca="1">SUMIFS(OFFSET(#REF!,0,MATCH($N$1,#REF!,FALSE)-1,1000,1),#REF!,"="&amp;A43)</f>
        <v>#REF!</v>
      </c>
      <c r="O43" s="65" t="e">
        <f ca="1">SUMIFS(OFFSET(#REF!,0,MATCH($O$1,#REF!,FALSE)-1,1000,1),#REF!,"="&amp;A43)</f>
        <v>#REF!</v>
      </c>
      <c r="P43" s="50" t="e">
        <f>VLOOKUP(VLOOKUP(A43,Reactions!A3:W688,22,FALSE),$T$5:$U$10,2,FALSE)</f>
        <v>#N/A</v>
      </c>
      <c r="T43"/>
    </row>
    <row r="44" spans="1:20" ht="24" customHeight="1" x14ac:dyDescent="0.25">
      <c r="A44" s="50" t="s">
        <v>27</v>
      </c>
      <c r="B44" s="38">
        <f t="shared" si="1"/>
        <v>40</v>
      </c>
      <c r="C44" s="38"/>
      <c r="D44" s="50" t="str">
        <f t="shared" si="0"/>
        <v>(D40)</v>
      </c>
      <c r="E44" s="50" t="s">
        <v>1</v>
      </c>
      <c r="F44" s="51" t="s">
        <v>0</v>
      </c>
      <c r="G44" s="52" t="s">
        <v>1522</v>
      </c>
      <c r="H44" s="47" t="s">
        <v>7</v>
      </c>
      <c r="I44" s="50" t="s">
        <v>1525</v>
      </c>
      <c r="J44" s="47" t="s">
        <v>0</v>
      </c>
      <c r="K44" s="50" t="s">
        <v>654</v>
      </c>
      <c r="L44" s="51" t="s">
        <v>0</v>
      </c>
      <c r="M44" s="90" t="s">
        <v>1053</v>
      </c>
      <c r="N44" s="63" t="e">
        <f ca="1">SUMIFS(OFFSET(#REF!,0,MATCH($N$1,#REF!,FALSE)-1,1000,1),#REF!,"="&amp;A44)</f>
        <v>#REF!</v>
      </c>
      <c r="O44" s="65" t="e">
        <f ca="1">SUMIFS(OFFSET(#REF!,0,MATCH($O$1,#REF!,FALSE)-1,1000,1),#REF!,"="&amp;A44)</f>
        <v>#REF!</v>
      </c>
      <c r="P44" s="50" t="e">
        <f>VLOOKUP(VLOOKUP(A44,Reactions!A3:W689,22,FALSE),$T$5:$U$10,2,FALSE)</f>
        <v>#N/A</v>
      </c>
      <c r="T44"/>
    </row>
    <row r="45" spans="1:20" ht="24" customHeight="1" x14ac:dyDescent="0.25">
      <c r="A45" s="50" t="s">
        <v>28</v>
      </c>
      <c r="B45" s="38">
        <f t="shared" si="1"/>
        <v>41</v>
      </c>
      <c r="C45" s="38"/>
      <c r="D45" s="50" t="str">
        <f t="shared" si="0"/>
        <v>(D41)</v>
      </c>
      <c r="E45" s="50" t="s">
        <v>1</v>
      </c>
      <c r="F45" s="51" t="s">
        <v>0</v>
      </c>
      <c r="G45" s="52" t="s">
        <v>1522</v>
      </c>
      <c r="H45" s="47" t="s">
        <v>7</v>
      </c>
      <c r="I45" s="50" t="s">
        <v>1514</v>
      </c>
      <c r="J45" s="47" t="s">
        <v>0</v>
      </c>
      <c r="K45" s="50" t="s">
        <v>1526</v>
      </c>
      <c r="L45" s="51" t="s">
        <v>0</v>
      </c>
      <c r="M45" s="90" t="s">
        <v>1053</v>
      </c>
      <c r="N45" s="63" t="e">
        <f ca="1">SUMIFS(OFFSET(#REF!,0,MATCH($N$1,#REF!,FALSE)-1,1000,1),#REF!,"="&amp;A45)</f>
        <v>#REF!</v>
      </c>
      <c r="O45" s="65" t="e">
        <f ca="1">SUMIFS(OFFSET(#REF!,0,MATCH($O$1,#REF!,FALSE)-1,1000,1),#REF!,"="&amp;A45)</f>
        <v>#REF!</v>
      </c>
      <c r="P45" s="50" t="e">
        <f>VLOOKUP(VLOOKUP(A45,Reactions!A3:W690,22,FALSE),$T$5:$U$10,2,FALSE)</f>
        <v>#N/A</v>
      </c>
      <c r="T45"/>
    </row>
    <row r="46" spans="1:20" ht="24" customHeight="1" x14ac:dyDescent="0.25">
      <c r="A46" s="50" t="s">
        <v>29</v>
      </c>
      <c r="B46" s="38">
        <f t="shared" si="1"/>
        <v>42</v>
      </c>
      <c r="C46" s="38"/>
      <c r="D46" s="50" t="str">
        <f t="shared" si="0"/>
        <v>(D42)</v>
      </c>
      <c r="E46" s="50" t="s">
        <v>1</v>
      </c>
      <c r="F46" s="51" t="s">
        <v>0</v>
      </c>
      <c r="G46" s="52" t="s">
        <v>1522</v>
      </c>
      <c r="H46" s="47" t="s">
        <v>7</v>
      </c>
      <c r="I46" s="52" t="s">
        <v>1527</v>
      </c>
      <c r="J46" s="47" t="s">
        <v>0</v>
      </c>
      <c r="K46" s="50" t="s">
        <v>639</v>
      </c>
      <c r="L46" s="51" t="s">
        <v>0</v>
      </c>
      <c r="M46" s="90" t="s">
        <v>1053</v>
      </c>
      <c r="N46" s="63" t="e">
        <f ca="1">SUMIFS(OFFSET(#REF!,0,MATCH($N$1,#REF!,FALSE)-1,1000,1),#REF!,"="&amp;A46)</f>
        <v>#REF!</v>
      </c>
      <c r="O46" s="65" t="e">
        <f ca="1">SUMIFS(OFFSET(#REF!,0,MATCH($O$1,#REF!,FALSE)-1,1000,1),#REF!,"="&amp;A46)</f>
        <v>#REF!</v>
      </c>
      <c r="P46" s="50" t="e">
        <f>VLOOKUP(VLOOKUP(A46,Reactions!A3:W691,22,FALSE),$T$5:$U$10,2,FALSE)</f>
        <v>#N/A</v>
      </c>
      <c r="T46"/>
    </row>
    <row r="47" spans="1:20" ht="24" customHeight="1" x14ac:dyDescent="0.25">
      <c r="A47" s="50" t="s">
        <v>30</v>
      </c>
      <c r="B47" s="38">
        <f t="shared" si="1"/>
        <v>43</v>
      </c>
      <c r="C47" s="38"/>
      <c r="D47" s="50" t="str">
        <f t="shared" si="0"/>
        <v>(D43)</v>
      </c>
      <c r="E47" s="50" t="s">
        <v>1</v>
      </c>
      <c r="F47" s="51" t="s">
        <v>0</v>
      </c>
      <c r="G47" s="52" t="s">
        <v>1522</v>
      </c>
      <c r="H47" s="47" t="s">
        <v>7</v>
      </c>
      <c r="I47" s="50" t="s">
        <v>654</v>
      </c>
      <c r="J47" s="51" t="s">
        <v>0</v>
      </c>
      <c r="K47" s="50" t="s">
        <v>653</v>
      </c>
      <c r="L47" s="51" t="s">
        <v>0</v>
      </c>
      <c r="M47" s="90" t="s">
        <v>1</v>
      </c>
      <c r="N47" s="63" t="e">
        <f ca="1">SUMIFS(OFFSET(#REF!,0,MATCH($N$1,#REF!,FALSE)-1,1000,1),#REF!,"="&amp;A47)</f>
        <v>#REF!</v>
      </c>
      <c r="O47" s="65" t="e">
        <f ca="1">SUMIFS(OFFSET(#REF!,0,MATCH($O$1,#REF!,FALSE)-1,1000,1),#REF!,"="&amp;A47)</f>
        <v>#REF!</v>
      </c>
      <c r="P47" s="50" t="e">
        <f>VLOOKUP(VLOOKUP(A47,Reactions!A3:W692,22,FALSE),$T$5:$U$10,2,FALSE)</f>
        <v>#N/A</v>
      </c>
      <c r="T47"/>
    </row>
    <row r="48" spans="1:20" ht="24" customHeight="1" x14ac:dyDescent="0.25">
      <c r="A48" s="50" t="s">
        <v>31</v>
      </c>
      <c r="B48" s="38">
        <f t="shared" si="1"/>
        <v>44</v>
      </c>
      <c r="C48" s="38"/>
      <c r="D48" s="50" t="str">
        <f t="shared" si="0"/>
        <v>(D44)</v>
      </c>
      <c r="E48" s="50" t="s">
        <v>1</v>
      </c>
      <c r="F48" s="51" t="s">
        <v>0</v>
      </c>
      <c r="G48" s="52" t="s">
        <v>1522</v>
      </c>
      <c r="H48" s="47" t="s">
        <v>7</v>
      </c>
      <c r="I48" s="50" t="s">
        <v>1526</v>
      </c>
      <c r="J48" s="51" t="s">
        <v>0</v>
      </c>
      <c r="K48" s="50" t="s">
        <v>1517</v>
      </c>
      <c r="L48" s="51" t="s">
        <v>0</v>
      </c>
      <c r="M48" s="90" t="s">
        <v>1</v>
      </c>
      <c r="N48" s="63" t="e">
        <f ca="1">SUMIFS(OFFSET(#REF!,0,MATCH($N$1,#REF!,FALSE)-1,1000,1),#REF!,"="&amp;A48)</f>
        <v>#REF!</v>
      </c>
      <c r="O48" s="65" t="e">
        <f ca="1">SUMIFS(OFFSET(#REF!,0,MATCH($O$1,#REF!,FALSE)-1,1000,1),#REF!,"="&amp;A48)</f>
        <v>#REF!</v>
      </c>
      <c r="P48" s="50" t="e">
        <f>VLOOKUP(VLOOKUP(A48,Reactions!A3:W693,22,FALSE),$T$5:$U$10,2,FALSE)</f>
        <v>#N/A</v>
      </c>
      <c r="T48"/>
    </row>
    <row r="49" spans="1:20" ht="24" customHeight="1" x14ac:dyDescent="0.25">
      <c r="A49" s="50" t="s">
        <v>1461</v>
      </c>
      <c r="B49" s="38">
        <f t="shared" si="1"/>
        <v>45</v>
      </c>
      <c r="C49" s="38"/>
      <c r="D49" s="50" t="str">
        <f t="shared" si="0"/>
        <v>(D45)</v>
      </c>
      <c r="E49" s="50" t="s">
        <v>1</v>
      </c>
      <c r="F49" s="51" t="s">
        <v>0</v>
      </c>
      <c r="G49" s="52" t="s">
        <v>1522</v>
      </c>
      <c r="H49" s="47" t="s">
        <v>7</v>
      </c>
      <c r="I49" s="52" t="s">
        <v>1528</v>
      </c>
      <c r="J49" s="51" t="s">
        <v>0</v>
      </c>
      <c r="K49" s="52" t="s">
        <v>1</v>
      </c>
      <c r="L49" s="51"/>
      <c r="M49" s="90"/>
      <c r="N49" s="63" t="e">
        <f ca="1">SUMIFS(OFFSET(#REF!,0,MATCH($N$1,#REF!,FALSE)-1,1000,1),#REF!,"="&amp;A49)</f>
        <v>#REF!</v>
      </c>
      <c r="O49" s="65" t="e">
        <f ca="1">SUMIFS(OFFSET(#REF!,0,MATCH($O$1,#REF!,FALSE)-1,1000,1),#REF!,"="&amp;A49)</f>
        <v>#REF!</v>
      </c>
      <c r="P49" s="50" t="e">
        <f>VLOOKUP(VLOOKUP(A49,Reactions!A3:W694,22,FALSE),$T$5:$U$10,2,FALSE)</f>
        <v>#N/A</v>
      </c>
      <c r="T49"/>
    </row>
    <row r="50" spans="1:20" ht="24" customHeight="1" x14ac:dyDescent="0.25">
      <c r="A50" s="50" t="s">
        <v>1462</v>
      </c>
      <c r="B50" s="38">
        <f t="shared" si="1"/>
        <v>46</v>
      </c>
      <c r="C50" s="38"/>
      <c r="D50" s="50" t="str">
        <f t="shared" si="0"/>
        <v>(D46)</v>
      </c>
      <c r="E50" s="50" t="s">
        <v>1</v>
      </c>
      <c r="F50" s="51" t="s">
        <v>0</v>
      </c>
      <c r="G50" s="52" t="s">
        <v>1522</v>
      </c>
      <c r="H50" s="47" t="s">
        <v>7</v>
      </c>
      <c r="I50" s="52" t="s">
        <v>1529</v>
      </c>
      <c r="J50" s="51" t="s">
        <v>0</v>
      </c>
      <c r="K50" s="52" t="s">
        <v>1</v>
      </c>
      <c r="L50" s="51"/>
      <c r="M50" s="90" t="s">
        <v>1536</v>
      </c>
      <c r="N50" s="63" t="e">
        <f ca="1">SUMIFS(OFFSET(#REF!,0,MATCH($N$1,#REF!,FALSE)-1,1000,1),#REF!,"="&amp;A50)</f>
        <v>#REF!</v>
      </c>
      <c r="O50" s="65" t="e">
        <f ca="1">SUMIFS(OFFSET(#REF!,0,MATCH($O$1,#REF!,FALSE)-1,1000,1),#REF!,"="&amp;A50)</f>
        <v>#REF!</v>
      </c>
      <c r="P50" s="50" t="e">
        <f>VLOOKUP(VLOOKUP(A50,Reactions!A3:W695,22,FALSE),$T$5:$U$10,2,FALSE)</f>
        <v>#N/A</v>
      </c>
      <c r="T50"/>
    </row>
    <row r="51" spans="1:20" ht="24" customHeight="1" x14ac:dyDescent="0.25">
      <c r="A51" s="50" t="s">
        <v>32</v>
      </c>
      <c r="B51" s="38">
        <f t="shared" si="1"/>
        <v>47</v>
      </c>
      <c r="C51" s="38"/>
      <c r="D51" s="50" t="str">
        <f t="shared" si="0"/>
        <v>(D47)</v>
      </c>
      <c r="E51" s="50" t="s">
        <v>1</v>
      </c>
      <c r="F51" s="51" t="s">
        <v>0</v>
      </c>
      <c r="G51" s="52" t="s">
        <v>1526</v>
      </c>
      <c r="H51" s="47" t="s">
        <v>7</v>
      </c>
      <c r="I51" s="50" t="s">
        <v>1415</v>
      </c>
      <c r="J51" s="51" t="s">
        <v>0</v>
      </c>
      <c r="K51" s="50" t="s">
        <v>1</v>
      </c>
      <c r="L51" s="51"/>
      <c r="M51" s="90"/>
      <c r="N51" s="63" t="e">
        <f ca="1">SUMIFS(OFFSET(#REF!,0,MATCH($N$1,#REF!,FALSE)-1,1000,1),#REF!,"="&amp;A51)</f>
        <v>#REF!</v>
      </c>
      <c r="O51" s="65" t="e">
        <f ca="1">SUMIFS(OFFSET(#REF!,0,MATCH($O$1,#REF!,FALSE)-1,1000,1),#REF!,"="&amp;A51)</f>
        <v>#REF!</v>
      </c>
      <c r="P51" s="50" t="e">
        <f>VLOOKUP(VLOOKUP(A51,Reactions!A3:W696,22,FALSE),$T$5:$U$10,2,FALSE)</f>
        <v>#N/A</v>
      </c>
      <c r="T51"/>
    </row>
    <row r="52" spans="1:20" ht="24" customHeight="1" x14ac:dyDescent="0.25">
      <c r="A52" s="50" t="s">
        <v>33</v>
      </c>
      <c r="B52" s="38">
        <f t="shared" si="1"/>
        <v>48</v>
      </c>
      <c r="C52" s="38"/>
      <c r="D52" s="50" t="str">
        <f t="shared" si="0"/>
        <v>(D48)</v>
      </c>
      <c r="E52" s="50" t="s">
        <v>1</v>
      </c>
      <c r="F52" s="51" t="s">
        <v>0</v>
      </c>
      <c r="G52" s="52" t="s">
        <v>1526</v>
      </c>
      <c r="H52" s="47" t="s">
        <v>7</v>
      </c>
      <c r="I52" s="52" t="s">
        <v>1527</v>
      </c>
      <c r="J52" s="51" t="s">
        <v>0</v>
      </c>
      <c r="K52" s="50" t="s">
        <v>1053</v>
      </c>
      <c r="L52" s="51"/>
      <c r="M52" s="90"/>
      <c r="N52" s="63" t="e">
        <f ca="1">SUMIFS(OFFSET(#REF!,0,MATCH($N$1,#REF!,FALSE)-1,1000,1),#REF!,"="&amp;A52)</f>
        <v>#REF!</v>
      </c>
      <c r="O52" s="65" t="e">
        <f ca="1">SUMIFS(OFFSET(#REF!,0,MATCH($O$1,#REF!,FALSE)-1,1000,1),#REF!,"="&amp;A52)</f>
        <v>#REF!</v>
      </c>
      <c r="P52" s="50" t="e">
        <f>VLOOKUP(VLOOKUP(A52,Reactions!A3:W697,22,FALSE),$T$5:$U$10,2,FALSE)</f>
        <v>#N/A</v>
      </c>
      <c r="T52"/>
    </row>
    <row r="53" spans="1:20" ht="24" customHeight="1" x14ac:dyDescent="0.25">
      <c r="A53" s="50" t="s">
        <v>1372</v>
      </c>
      <c r="B53" s="38">
        <f t="shared" si="1"/>
        <v>49</v>
      </c>
      <c r="C53" s="38"/>
      <c r="D53" s="50" t="str">
        <f t="shared" si="0"/>
        <v>(D49)</v>
      </c>
      <c r="E53" s="50" t="s">
        <v>1</v>
      </c>
      <c r="F53" s="51" t="s">
        <v>0</v>
      </c>
      <c r="G53" s="58" t="s">
        <v>1530</v>
      </c>
      <c r="H53" s="47" t="s">
        <v>7</v>
      </c>
      <c r="I53" s="58" t="s">
        <v>1531</v>
      </c>
      <c r="J53" s="51" t="s">
        <v>0</v>
      </c>
      <c r="K53" s="58" t="s">
        <v>687</v>
      </c>
      <c r="L53" s="51"/>
      <c r="M53" s="90"/>
      <c r="N53" s="63" t="e">
        <f ca="1">SUMIFS(OFFSET(#REF!,0,MATCH($N$1,#REF!,FALSE)-1,1000,1),#REF!,"="&amp;A53)</f>
        <v>#REF!</v>
      </c>
      <c r="O53" s="65" t="e">
        <f ca="1">SUMIFS(OFFSET(#REF!,0,MATCH($O$1,#REF!,FALSE)-1,1000,1),#REF!,"="&amp;A53)</f>
        <v>#REF!</v>
      </c>
      <c r="P53" s="59" t="e">
        <f>VLOOKUP(VLOOKUP(A53,Reactions!A3:W698,22,FALSE),$T$5:$U$10,2,FALSE)</f>
        <v>#N/A</v>
      </c>
      <c r="T53"/>
    </row>
    <row r="54" spans="1:20" ht="24" customHeight="1" x14ac:dyDescent="0.25">
      <c r="A54" s="50" t="s">
        <v>71</v>
      </c>
      <c r="B54" s="38">
        <f t="shared" si="1"/>
        <v>50</v>
      </c>
      <c r="C54" s="38"/>
      <c r="D54" s="50" t="str">
        <f t="shared" si="0"/>
        <v>(D50)</v>
      </c>
      <c r="E54" s="50" t="s">
        <v>1</v>
      </c>
      <c r="F54" s="51" t="s">
        <v>0</v>
      </c>
      <c r="G54" s="58" t="s">
        <v>1511</v>
      </c>
      <c r="H54" s="47" t="s">
        <v>7</v>
      </c>
      <c r="I54" s="58" t="s">
        <v>1519</v>
      </c>
      <c r="J54" s="51" t="s">
        <v>0</v>
      </c>
      <c r="K54" s="58" t="s">
        <v>639</v>
      </c>
      <c r="L54" s="51"/>
      <c r="M54" s="90"/>
      <c r="N54" s="63" t="e">
        <f ca="1">SUMIFS(OFFSET(#REF!,0,MATCH($N$1,#REF!,FALSE)-1,1000,1),#REF!,"="&amp;A54)</f>
        <v>#REF!</v>
      </c>
      <c r="O54" s="65" t="e">
        <f ca="1">SUMIFS(OFFSET(#REF!,0,MATCH($O$1,#REF!,FALSE)-1,1000,1),#REF!,"="&amp;A54)</f>
        <v>#REF!</v>
      </c>
      <c r="P54" s="50" t="e">
        <f>VLOOKUP(VLOOKUP(A54,Reactions!A3:W699,22,FALSE),$T$5:$U$10,2,FALSE)</f>
        <v>#N/A</v>
      </c>
      <c r="T54"/>
    </row>
    <row r="55" spans="1:20" ht="24" customHeight="1" x14ac:dyDescent="0.25">
      <c r="A55" s="50" t="s">
        <v>73</v>
      </c>
      <c r="B55" s="38">
        <f t="shared" si="1"/>
        <v>51</v>
      </c>
      <c r="C55" s="38"/>
      <c r="D55" s="50" t="str">
        <f t="shared" si="0"/>
        <v>(D51)</v>
      </c>
      <c r="E55" s="50" t="s">
        <v>1</v>
      </c>
      <c r="F55" s="51" t="s">
        <v>0</v>
      </c>
      <c r="G55" s="58" t="s">
        <v>1532</v>
      </c>
      <c r="H55" s="47" t="s">
        <v>7</v>
      </c>
      <c r="I55" s="58" t="s">
        <v>1519</v>
      </c>
      <c r="J55" s="51" t="s">
        <v>0</v>
      </c>
      <c r="K55" s="58" t="s">
        <v>1511</v>
      </c>
      <c r="L55" s="51"/>
      <c r="M55" s="90"/>
      <c r="N55" s="63" t="e">
        <f ca="1">SUMIFS(OFFSET(#REF!,0,MATCH($N$1,#REF!,FALSE)-1,1000,1),#REF!,"="&amp;A55)</f>
        <v>#REF!</v>
      </c>
      <c r="O55" s="65" t="e">
        <f ca="1">SUMIFS(OFFSET(#REF!,0,MATCH($O$1,#REF!,FALSE)-1,1000,1),#REF!,"="&amp;A55)</f>
        <v>#REF!</v>
      </c>
      <c r="P55" s="59" t="e">
        <f>VLOOKUP(VLOOKUP(A55,Reactions!A4:W700,22,FALSE),$T$5:$U$10,2,FALSE)</f>
        <v>#N/A</v>
      </c>
      <c r="T55"/>
    </row>
    <row r="56" spans="1:20" ht="24" customHeight="1" x14ac:dyDescent="0.25">
      <c r="A56" s="50" t="s">
        <v>74</v>
      </c>
      <c r="B56" s="38">
        <f t="shared" si="1"/>
        <v>52</v>
      </c>
      <c r="C56" s="38"/>
      <c r="D56" s="50" t="str">
        <f t="shared" si="0"/>
        <v>(D52)</v>
      </c>
      <c r="E56" s="50" t="s">
        <v>1</v>
      </c>
      <c r="F56" s="51" t="s">
        <v>0</v>
      </c>
      <c r="G56" s="58" t="s">
        <v>1532</v>
      </c>
      <c r="H56" s="47" t="s">
        <v>7</v>
      </c>
      <c r="I56" s="58" t="s">
        <v>1531</v>
      </c>
      <c r="J56" s="51" t="s">
        <v>0</v>
      </c>
      <c r="K56" s="58" t="s">
        <v>639</v>
      </c>
      <c r="L56" s="58"/>
      <c r="M56" s="93"/>
      <c r="N56" s="63" t="e">
        <f ca="1">SUMIFS(OFFSET(#REF!,0,MATCH($N$1,#REF!,FALSE)-1,1000,1),#REF!,"="&amp;A56)</f>
        <v>#REF!</v>
      </c>
      <c r="O56" s="65" t="e">
        <f ca="1">SUMIFS(OFFSET(#REF!,0,MATCH($O$1,#REF!,FALSE)-1,1000,1),#REF!,"="&amp;A56)</f>
        <v>#REF!</v>
      </c>
      <c r="P56" s="59" t="e">
        <f>VLOOKUP(VLOOKUP(A56,Reactions!A5:W701,22,FALSE),$T$5:$U$10,2,FALSE)</f>
        <v>#N/A</v>
      </c>
      <c r="T56"/>
    </row>
    <row r="57" spans="1:20" ht="24" customHeight="1" x14ac:dyDescent="0.25">
      <c r="A57" s="50" t="s">
        <v>81</v>
      </c>
      <c r="B57" s="38">
        <f t="shared" si="1"/>
        <v>53</v>
      </c>
      <c r="C57" s="38"/>
      <c r="D57" s="50" t="str">
        <f t="shared" si="0"/>
        <v>(D53)</v>
      </c>
      <c r="E57" s="50" t="s">
        <v>1</v>
      </c>
      <c r="F57" s="51" t="s">
        <v>0</v>
      </c>
      <c r="G57" s="52" t="s">
        <v>1522</v>
      </c>
      <c r="H57" s="47" t="s">
        <v>7</v>
      </c>
      <c r="I57" s="58" t="s">
        <v>1533</v>
      </c>
      <c r="J57" s="51" t="s">
        <v>0</v>
      </c>
      <c r="K57" s="58" t="s">
        <v>654</v>
      </c>
      <c r="L57" s="58"/>
      <c r="M57" s="93"/>
      <c r="N57" s="63" t="e">
        <f ca="1">SUMIFS(OFFSET(#REF!,0,MATCH($N$1,#REF!,FALSE)-1,1000,1),#REF!,"="&amp;A57)</f>
        <v>#REF!</v>
      </c>
      <c r="O57" s="65" t="e">
        <f ca="1">SUMIFS(OFFSET(#REF!,0,MATCH($O$1,#REF!,FALSE)-1,1000,1),#REF!,"="&amp;A57)</f>
        <v>#REF!</v>
      </c>
      <c r="P57" s="59" t="e">
        <f>VLOOKUP(VLOOKUP(A57,Reactions!A6:W702,22,FALSE),$T$5:$U$10,2,FALSE)</f>
        <v>#N/A</v>
      </c>
      <c r="T57"/>
    </row>
    <row r="58" spans="1:20" ht="24" customHeight="1" x14ac:dyDescent="0.25">
      <c r="A58" s="50" t="s">
        <v>82</v>
      </c>
      <c r="B58" s="38">
        <f t="shared" si="1"/>
        <v>54</v>
      </c>
      <c r="C58" s="38"/>
      <c r="D58" s="50" t="str">
        <f t="shared" si="0"/>
        <v>(D54)</v>
      </c>
      <c r="E58" s="50" t="s">
        <v>1</v>
      </c>
      <c r="F58" s="51" t="s">
        <v>0</v>
      </c>
      <c r="G58" s="52" t="s">
        <v>1522</v>
      </c>
      <c r="H58" s="47" t="s">
        <v>7</v>
      </c>
      <c r="I58" s="58" t="s">
        <v>1519</v>
      </c>
      <c r="J58" s="51" t="s">
        <v>0</v>
      </c>
      <c r="K58" s="58" t="s">
        <v>1526</v>
      </c>
      <c r="L58" s="58"/>
      <c r="M58" s="93"/>
      <c r="N58" s="63" t="e">
        <f ca="1">SUMIFS(OFFSET(#REF!,0,MATCH($N$1,#REF!,FALSE)-1,1000,1),#REF!,"="&amp;A58)</f>
        <v>#REF!</v>
      </c>
      <c r="O58" s="65" t="e">
        <f ca="1">SUMIFS(OFFSET(#REF!,0,MATCH($O$1,#REF!,FALSE)-1,1000,1),#REF!,"="&amp;A58)</f>
        <v>#REF!</v>
      </c>
      <c r="P58" s="59" t="e">
        <f>VLOOKUP(VLOOKUP(A58,Reactions!A7:W703,22,FALSE),$T$5:$U$10,2,FALSE)</f>
        <v>#N/A</v>
      </c>
      <c r="T58"/>
    </row>
    <row r="59" spans="1:20" ht="24" customHeight="1" x14ac:dyDescent="0.25">
      <c r="A59" s="66" t="s">
        <v>83</v>
      </c>
      <c r="B59" s="38">
        <f t="shared" si="1"/>
        <v>55</v>
      </c>
      <c r="C59" s="38"/>
      <c r="D59" s="66" t="str">
        <f t="shared" si="0"/>
        <v>(D55)</v>
      </c>
      <c r="E59" s="66" t="s">
        <v>1</v>
      </c>
      <c r="F59" s="67" t="s">
        <v>0</v>
      </c>
      <c r="G59" s="68" t="s">
        <v>1522</v>
      </c>
      <c r="H59" s="39" t="s">
        <v>7</v>
      </c>
      <c r="I59" s="69" t="s">
        <v>1534</v>
      </c>
      <c r="J59" s="67" t="s">
        <v>0</v>
      </c>
      <c r="K59" s="69" t="s">
        <v>653</v>
      </c>
      <c r="L59" s="69"/>
      <c r="M59" s="94"/>
      <c r="N59" s="70" t="e">
        <f ca="1">SUMIFS(OFFSET(#REF!,0,MATCH($N$1,#REF!,FALSE)-1,1000,1),#REF!,"="&amp;A59)</f>
        <v>#REF!</v>
      </c>
      <c r="O59" s="71" t="e">
        <f ca="1">SUMIFS(OFFSET(#REF!,0,MATCH($O$1,#REF!,FALSE)-1,1000,1),#REF!,"="&amp;A59)</f>
        <v>#REF!</v>
      </c>
      <c r="P59" s="72" t="e">
        <f>VLOOKUP(VLOOKUP(A59,Reactions!A7:W704,22,FALSE),$T$5:$U$10,2,FALSE)</f>
        <v>#N/A</v>
      </c>
      <c r="T59"/>
    </row>
    <row r="60" spans="1:20" ht="24" customHeight="1" x14ac:dyDescent="0.25"/>
    <row r="61" spans="1:20" s="25" customFormat="1" ht="26.25" customHeight="1" x14ac:dyDescent="0.25">
      <c r="A61" s="37"/>
      <c r="B61" s="37"/>
      <c r="C61" s="37"/>
      <c r="D61" s="37"/>
      <c r="E61" s="38"/>
      <c r="F61" s="39"/>
      <c r="G61" s="37"/>
      <c r="H61" s="37"/>
      <c r="I61" s="38"/>
      <c r="J61" s="39"/>
      <c r="K61" s="38"/>
      <c r="L61" s="39"/>
      <c r="M61" s="37"/>
      <c r="N61" s="61"/>
      <c r="O61" s="61"/>
      <c r="P61" s="40"/>
      <c r="R61" s="13"/>
      <c r="S61" s="13"/>
      <c r="T61" s="13"/>
    </row>
    <row r="62" spans="1:20" s="25" customFormat="1" x14ac:dyDescent="0.25">
      <c r="A62" s="37"/>
      <c r="B62" s="37"/>
      <c r="C62" s="37"/>
      <c r="D62" s="37"/>
      <c r="E62" s="38"/>
      <c r="F62" s="39"/>
      <c r="G62" s="37"/>
      <c r="H62" s="37"/>
      <c r="I62" s="38"/>
      <c r="J62" s="39"/>
      <c r="K62" s="38"/>
      <c r="L62" s="39"/>
      <c r="M62" s="37"/>
      <c r="N62" s="60"/>
      <c r="O62" s="60"/>
      <c r="P62" s="40"/>
      <c r="R62" s="13"/>
      <c r="S62" s="13"/>
      <c r="T62" s="13"/>
    </row>
    <row r="63" spans="1:20" s="25" customFormat="1" x14ac:dyDescent="0.25">
      <c r="A63" s="37"/>
      <c r="B63" s="37"/>
      <c r="C63" s="37"/>
      <c r="D63" s="37"/>
      <c r="E63" s="38"/>
      <c r="F63" s="39"/>
      <c r="G63" s="37"/>
      <c r="H63" s="37"/>
      <c r="I63" s="38"/>
      <c r="J63" s="39"/>
      <c r="K63" s="38"/>
      <c r="L63" s="39"/>
      <c r="M63" s="37"/>
      <c r="N63" s="60"/>
      <c r="O63" s="60"/>
      <c r="P63" s="40"/>
      <c r="R63" s="13"/>
      <c r="S63" s="13"/>
      <c r="T63" s="13"/>
    </row>
    <row r="64" spans="1:20" s="25" customFormat="1" x14ac:dyDescent="0.25">
      <c r="A64" s="37"/>
      <c r="B64" s="37"/>
      <c r="C64" s="37"/>
      <c r="D64" s="37"/>
      <c r="E64" s="38"/>
      <c r="F64" s="39"/>
      <c r="G64" s="37"/>
      <c r="H64" s="37"/>
      <c r="I64" s="38"/>
      <c r="J64" s="39"/>
      <c r="K64" s="38"/>
      <c r="L64" s="39"/>
      <c r="M64" s="37"/>
      <c r="N64" s="60"/>
      <c r="O64" s="60"/>
      <c r="P64" s="40"/>
      <c r="R64" s="13"/>
      <c r="S64" s="13"/>
      <c r="T64" s="13"/>
    </row>
    <row r="65" spans="1:20" s="25" customFormat="1" x14ac:dyDescent="0.25">
      <c r="A65" s="37"/>
      <c r="B65" s="37"/>
      <c r="C65" s="37"/>
      <c r="D65" s="37"/>
      <c r="E65" s="38"/>
      <c r="F65" s="39"/>
      <c r="G65" s="37"/>
      <c r="H65" s="37"/>
      <c r="I65" s="38"/>
      <c r="J65" s="39"/>
      <c r="K65" s="38"/>
      <c r="L65" s="39"/>
      <c r="M65" s="37"/>
      <c r="N65" s="60"/>
      <c r="O65" s="60"/>
      <c r="P65" s="40"/>
      <c r="R65" s="13"/>
      <c r="S65" s="13"/>
      <c r="T65" s="13"/>
    </row>
    <row r="66" spans="1:20" s="25" customFormat="1" x14ac:dyDescent="0.25">
      <c r="A66" s="37"/>
      <c r="B66" s="37"/>
      <c r="C66" s="37"/>
      <c r="D66" s="37"/>
      <c r="E66" s="38"/>
      <c r="F66" s="39"/>
      <c r="G66" s="37"/>
      <c r="H66" s="37"/>
      <c r="I66" s="38"/>
      <c r="J66" s="39"/>
      <c r="K66" s="38"/>
      <c r="L66" s="39"/>
      <c r="M66" s="37"/>
      <c r="N66" s="60"/>
      <c r="O66" s="60"/>
      <c r="P66" s="40"/>
      <c r="R66" s="13"/>
      <c r="S66" s="13"/>
      <c r="T66" s="13"/>
    </row>
    <row r="67" spans="1:20" s="25" customFormat="1" x14ac:dyDescent="0.25">
      <c r="A67" s="37"/>
      <c r="B67" s="37"/>
      <c r="C67" s="37"/>
      <c r="D67" s="37"/>
      <c r="E67" s="38"/>
      <c r="F67" s="39"/>
      <c r="G67" s="37"/>
      <c r="H67" s="37"/>
      <c r="I67" s="38"/>
      <c r="J67" s="39"/>
      <c r="K67" s="38"/>
      <c r="L67" s="39"/>
      <c r="M67" s="37"/>
      <c r="N67" s="60"/>
      <c r="O67" s="60"/>
      <c r="P67" s="40"/>
      <c r="R67" s="13"/>
      <c r="S67" s="13"/>
      <c r="T67" s="13"/>
    </row>
    <row r="68" spans="1:20" s="25" customFormat="1" x14ac:dyDescent="0.25">
      <c r="A68" s="37"/>
      <c r="B68" s="37"/>
      <c r="C68" s="37"/>
      <c r="D68" s="37"/>
      <c r="E68" s="38"/>
      <c r="F68" s="39"/>
      <c r="G68" s="37"/>
      <c r="H68" s="37"/>
      <c r="I68" s="38"/>
      <c r="J68" s="39"/>
      <c r="K68" s="38"/>
      <c r="L68" s="39"/>
      <c r="M68" s="37"/>
      <c r="N68" s="60"/>
      <c r="O68" s="60"/>
      <c r="P68" s="40"/>
      <c r="R68" s="13"/>
      <c r="S68" s="13"/>
      <c r="T68" s="13"/>
    </row>
    <row r="69" spans="1:20" s="25" customFormat="1" x14ac:dyDescent="0.25">
      <c r="A69" s="37"/>
      <c r="B69" s="37"/>
      <c r="C69" s="37"/>
      <c r="D69" s="37"/>
      <c r="E69" s="38"/>
      <c r="F69" s="39"/>
      <c r="G69" s="37"/>
      <c r="H69" s="37"/>
      <c r="I69" s="38"/>
      <c r="J69" s="39"/>
      <c r="K69" s="38"/>
      <c r="L69" s="39"/>
      <c r="M69" s="37"/>
      <c r="N69" s="60"/>
      <c r="O69" s="60"/>
      <c r="P69" s="40"/>
      <c r="R69" s="13"/>
      <c r="S69" s="13"/>
      <c r="T69" s="13"/>
    </row>
    <row r="70" spans="1:20" s="25" customFormat="1" x14ac:dyDescent="0.25">
      <c r="A70" s="37"/>
      <c r="B70" s="37"/>
      <c r="C70" s="37"/>
      <c r="D70" s="37"/>
      <c r="E70" s="38"/>
      <c r="F70" s="39"/>
      <c r="G70" s="37"/>
      <c r="H70" s="37"/>
      <c r="I70" s="38"/>
      <c r="J70" s="39"/>
      <c r="K70" s="38"/>
      <c r="L70" s="39"/>
      <c r="M70" s="37"/>
      <c r="N70" s="60"/>
      <c r="O70" s="60"/>
      <c r="P70" s="40"/>
      <c r="R70" s="13"/>
      <c r="S70" s="13"/>
      <c r="T70" s="13"/>
    </row>
    <row r="71" spans="1:20" s="25" customFormat="1" x14ac:dyDescent="0.25">
      <c r="A71" s="37"/>
      <c r="B71" s="37"/>
      <c r="C71" s="37"/>
      <c r="D71" s="37"/>
      <c r="E71" s="38"/>
      <c r="F71" s="39"/>
      <c r="G71" s="37"/>
      <c r="H71" s="37"/>
      <c r="I71" s="38"/>
      <c r="J71" s="39"/>
      <c r="K71" s="38"/>
      <c r="L71" s="39"/>
      <c r="M71" s="37"/>
      <c r="N71" s="60"/>
      <c r="O71" s="60"/>
      <c r="P71" s="40"/>
      <c r="R71" s="13"/>
      <c r="S71" s="13"/>
      <c r="T71" s="13"/>
    </row>
    <row r="72" spans="1:20" s="25" customFormat="1" x14ac:dyDescent="0.25">
      <c r="A72" s="37"/>
      <c r="B72" s="37"/>
      <c r="C72" s="37"/>
      <c r="D72" s="37"/>
      <c r="E72" s="38"/>
      <c r="F72" s="39"/>
      <c r="G72" s="37"/>
      <c r="H72" s="37"/>
      <c r="I72" s="38"/>
      <c r="J72" s="39"/>
      <c r="K72" s="38"/>
      <c r="L72" s="39"/>
      <c r="M72" s="37"/>
      <c r="N72" s="60"/>
      <c r="O72" s="60"/>
      <c r="P72" s="40"/>
      <c r="R72" s="13"/>
      <c r="S72" s="13"/>
      <c r="T72" s="13"/>
    </row>
    <row r="73" spans="1:20" s="25" customFormat="1" x14ac:dyDescent="0.25">
      <c r="A73" s="37"/>
      <c r="B73" s="37"/>
      <c r="C73" s="37"/>
      <c r="D73" s="37"/>
      <c r="E73" s="38"/>
      <c r="F73" s="39"/>
      <c r="G73" s="37"/>
      <c r="H73" s="37"/>
      <c r="I73" s="38"/>
      <c r="J73" s="39"/>
      <c r="K73" s="38"/>
      <c r="L73" s="39"/>
      <c r="M73" s="37"/>
      <c r="N73" s="60"/>
      <c r="O73" s="60"/>
      <c r="P73" s="40"/>
      <c r="R73" s="13"/>
      <c r="S73" s="13"/>
      <c r="T73" s="13"/>
    </row>
    <row r="74" spans="1:20" s="25" customFormat="1" x14ac:dyDescent="0.25">
      <c r="A74" s="37"/>
      <c r="B74" s="37"/>
      <c r="C74" s="37"/>
      <c r="D74" s="37"/>
      <c r="E74" s="38"/>
      <c r="F74" s="39"/>
      <c r="G74" s="37"/>
      <c r="H74" s="37"/>
      <c r="I74" s="38"/>
      <c r="J74" s="39"/>
      <c r="K74" s="38"/>
      <c r="L74" s="39"/>
      <c r="M74" s="37"/>
      <c r="N74" s="60"/>
      <c r="O74" s="60"/>
      <c r="P74" s="40"/>
      <c r="R74" s="13"/>
      <c r="S74" s="13"/>
      <c r="T74" s="13"/>
    </row>
    <row r="75" spans="1:20" s="25" customFormat="1" x14ac:dyDescent="0.25">
      <c r="A75" s="37"/>
      <c r="B75" s="37"/>
      <c r="C75" s="37"/>
      <c r="D75" s="37"/>
      <c r="E75" s="38"/>
      <c r="F75" s="39"/>
      <c r="G75" s="37"/>
      <c r="H75" s="37"/>
      <c r="I75" s="38"/>
      <c r="J75" s="39"/>
      <c r="K75" s="38"/>
      <c r="L75" s="39"/>
      <c r="M75" s="37"/>
      <c r="N75" s="60"/>
      <c r="O75" s="60"/>
      <c r="P75" s="40"/>
      <c r="R75" s="13"/>
      <c r="S75" s="13"/>
      <c r="T75" s="13"/>
    </row>
    <row r="76" spans="1:20" s="25" customFormat="1" x14ac:dyDescent="0.25">
      <c r="A76" s="37"/>
      <c r="B76" s="37"/>
      <c r="C76" s="37"/>
      <c r="D76" s="37"/>
      <c r="E76" s="38"/>
      <c r="F76" s="39"/>
      <c r="G76" s="37"/>
      <c r="H76" s="37"/>
      <c r="I76" s="38"/>
      <c r="J76" s="39"/>
      <c r="K76" s="38"/>
      <c r="L76" s="39"/>
      <c r="M76" s="37"/>
      <c r="N76" s="60"/>
      <c r="O76" s="60"/>
      <c r="P76" s="40"/>
      <c r="R76" s="13"/>
      <c r="S76" s="13"/>
      <c r="T76" s="13"/>
    </row>
    <row r="77" spans="1:20" s="25" customFormat="1" x14ac:dyDescent="0.25">
      <c r="A77" s="37"/>
      <c r="B77" s="37"/>
      <c r="C77" s="37"/>
      <c r="D77" s="37"/>
      <c r="E77" s="38"/>
      <c r="F77" s="39"/>
      <c r="G77" s="37"/>
      <c r="H77" s="37"/>
      <c r="I77" s="38"/>
      <c r="J77" s="39"/>
      <c r="K77" s="38"/>
      <c r="L77" s="39"/>
      <c r="M77" s="37"/>
      <c r="N77" s="60"/>
      <c r="O77" s="60"/>
      <c r="P77" s="40"/>
      <c r="R77" s="13"/>
      <c r="S77" s="13"/>
      <c r="T77" s="13"/>
    </row>
    <row r="78" spans="1:20" s="25" customFormat="1" x14ac:dyDescent="0.25">
      <c r="A78" s="37"/>
      <c r="B78" s="37"/>
      <c r="C78" s="37"/>
      <c r="D78" s="37"/>
      <c r="E78" s="38"/>
      <c r="F78" s="39"/>
      <c r="G78" s="37"/>
      <c r="H78" s="37"/>
      <c r="I78" s="38"/>
      <c r="J78" s="39"/>
      <c r="K78" s="38"/>
      <c r="L78" s="39"/>
      <c r="M78" s="37"/>
      <c r="N78" s="60"/>
      <c r="O78" s="60"/>
      <c r="P78" s="40"/>
      <c r="R78" s="13"/>
      <c r="S78" s="13"/>
      <c r="T78" s="13"/>
    </row>
    <row r="79" spans="1:20" s="25" customFormat="1" x14ac:dyDescent="0.25">
      <c r="A79" s="37"/>
      <c r="B79" s="37"/>
      <c r="C79" s="37"/>
      <c r="D79" s="37"/>
      <c r="E79" s="38"/>
      <c r="F79" s="39"/>
      <c r="G79" s="37"/>
      <c r="H79" s="37"/>
      <c r="I79" s="38"/>
      <c r="J79" s="39"/>
      <c r="K79" s="38"/>
      <c r="L79" s="39"/>
      <c r="M79" s="37"/>
      <c r="N79" s="60"/>
      <c r="O79" s="60"/>
      <c r="P79" s="40"/>
      <c r="R79" s="13"/>
      <c r="S79" s="13"/>
      <c r="T79" s="13"/>
    </row>
    <row r="80" spans="1:20" s="25" customFormat="1" x14ac:dyDescent="0.25">
      <c r="A80" s="37"/>
      <c r="B80" s="37"/>
      <c r="C80" s="37"/>
      <c r="D80" s="37"/>
      <c r="E80" s="38"/>
      <c r="F80" s="39"/>
      <c r="G80" s="37"/>
      <c r="H80" s="37"/>
      <c r="I80" s="38"/>
      <c r="J80" s="39"/>
      <c r="K80" s="38"/>
      <c r="L80" s="39"/>
      <c r="M80" s="37"/>
      <c r="N80" s="60"/>
      <c r="O80" s="60"/>
      <c r="P80" s="40"/>
      <c r="R80" s="13"/>
      <c r="S80" s="13"/>
      <c r="T80" s="13"/>
    </row>
    <row r="81" spans="1:20" s="25" customFormat="1" x14ac:dyDescent="0.25">
      <c r="A81" s="37"/>
      <c r="B81" s="37"/>
      <c r="C81" s="37"/>
      <c r="D81" s="37"/>
      <c r="E81" s="38"/>
      <c r="F81" s="39"/>
      <c r="G81" s="37"/>
      <c r="H81" s="37"/>
      <c r="I81" s="38"/>
      <c r="J81" s="39"/>
      <c r="K81" s="38"/>
      <c r="L81" s="39"/>
      <c r="M81" s="37"/>
      <c r="N81" s="60"/>
      <c r="O81" s="60"/>
      <c r="P81" s="40"/>
      <c r="R81" s="13"/>
      <c r="S81" s="13"/>
      <c r="T81" s="13"/>
    </row>
    <row r="82" spans="1:20" s="25" customFormat="1" x14ac:dyDescent="0.25">
      <c r="A82" s="37"/>
      <c r="B82" s="37"/>
      <c r="C82" s="37"/>
      <c r="D82" s="37"/>
      <c r="E82" s="38"/>
      <c r="F82" s="39"/>
      <c r="G82" s="37"/>
      <c r="H82" s="37"/>
      <c r="I82" s="38"/>
      <c r="J82" s="39"/>
      <c r="K82" s="38"/>
      <c r="L82" s="39"/>
      <c r="M82" s="37"/>
      <c r="N82" s="60"/>
      <c r="O82" s="60"/>
      <c r="P82" s="40"/>
      <c r="R82" s="13"/>
      <c r="S82" s="13"/>
      <c r="T82" s="13"/>
    </row>
    <row r="83" spans="1:20" s="25" customFormat="1" x14ac:dyDescent="0.25">
      <c r="A83" s="37"/>
      <c r="B83" s="37"/>
      <c r="C83" s="37"/>
      <c r="D83" s="37"/>
      <c r="E83" s="38"/>
      <c r="F83" s="39"/>
      <c r="G83" s="37"/>
      <c r="H83" s="37"/>
      <c r="I83" s="38"/>
      <c r="J83" s="39"/>
      <c r="K83" s="38"/>
      <c r="L83" s="39"/>
      <c r="M83" s="37"/>
      <c r="N83" s="60"/>
      <c r="O83" s="60"/>
      <c r="P83" s="40"/>
      <c r="R83" s="13"/>
      <c r="S83" s="13"/>
      <c r="T83" s="13"/>
    </row>
    <row r="84" spans="1:20" s="25" customFormat="1" x14ac:dyDescent="0.25">
      <c r="A84" s="37"/>
      <c r="B84" s="37"/>
      <c r="C84" s="37"/>
      <c r="D84" s="37"/>
      <c r="E84" s="38"/>
      <c r="F84" s="39"/>
      <c r="G84" s="37"/>
      <c r="H84" s="37"/>
      <c r="I84" s="38"/>
      <c r="J84" s="39"/>
      <c r="K84" s="38"/>
      <c r="L84" s="39"/>
      <c r="M84" s="37"/>
      <c r="N84" s="60"/>
      <c r="O84" s="60"/>
      <c r="P84" s="40"/>
      <c r="R84" s="13"/>
      <c r="S84" s="13"/>
      <c r="T84" s="13"/>
    </row>
    <row r="85" spans="1:20" s="25" customFormat="1" x14ac:dyDescent="0.25">
      <c r="A85" s="37"/>
      <c r="B85" s="37"/>
      <c r="C85" s="37"/>
      <c r="D85" s="37"/>
      <c r="E85" s="38"/>
      <c r="F85" s="39"/>
      <c r="G85" s="37"/>
      <c r="H85" s="37"/>
      <c r="I85" s="38"/>
      <c r="J85" s="39"/>
      <c r="K85" s="38"/>
      <c r="L85" s="39"/>
      <c r="M85" s="37"/>
      <c r="N85" s="60"/>
      <c r="O85" s="60"/>
      <c r="P85" s="40"/>
      <c r="R85" s="13"/>
      <c r="S85" s="13"/>
      <c r="T85" s="13"/>
    </row>
    <row r="86" spans="1:20" s="25" customFormat="1" x14ac:dyDescent="0.25">
      <c r="A86" s="37"/>
      <c r="B86" s="37"/>
      <c r="C86" s="37"/>
      <c r="D86" s="37"/>
      <c r="E86" s="38"/>
      <c r="F86" s="39"/>
      <c r="G86" s="37"/>
      <c r="H86" s="37"/>
      <c r="I86" s="38"/>
      <c r="J86" s="39"/>
      <c r="K86" s="38"/>
      <c r="L86" s="39"/>
      <c r="M86" s="37"/>
      <c r="N86" s="60"/>
      <c r="O86" s="60"/>
      <c r="P86" s="40"/>
      <c r="R86" s="13"/>
      <c r="S86" s="13"/>
      <c r="T86" s="13"/>
    </row>
    <row r="87" spans="1:20" s="25" customFormat="1" x14ac:dyDescent="0.25">
      <c r="A87" s="37"/>
      <c r="B87" s="37"/>
      <c r="C87" s="37"/>
      <c r="D87" s="37"/>
      <c r="E87" s="38"/>
      <c r="F87" s="39"/>
      <c r="G87" s="37"/>
      <c r="H87" s="37"/>
      <c r="I87" s="38"/>
      <c r="J87" s="39"/>
      <c r="K87" s="38"/>
      <c r="L87" s="39"/>
      <c r="M87" s="37"/>
      <c r="N87" s="60"/>
      <c r="O87" s="60"/>
      <c r="P87" s="40"/>
      <c r="R87" s="13"/>
      <c r="S87" s="13"/>
      <c r="T87" s="13"/>
    </row>
    <row r="88" spans="1:20" s="25" customFormat="1" x14ac:dyDescent="0.25">
      <c r="A88" s="37"/>
      <c r="B88" s="37"/>
      <c r="C88" s="37"/>
      <c r="D88" s="37"/>
      <c r="E88" s="38"/>
      <c r="F88" s="39"/>
      <c r="G88" s="37"/>
      <c r="H88" s="37"/>
      <c r="I88" s="38"/>
      <c r="J88" s="39"/>
      <c r="K88" s="38"/>
      <c r="L88" s="39"/>
      <c r="M88" s="37"/>
      <c r="N88" s="60"/>
      <c r="O88" s="60"/>
      <c r="P88" s="40"/>
      <c r="R88" s="13"/>
      <c r="S88" s="13"/>
      <c r="T88" s="13"/>
    </row>
    <row r="89" spans="1:20" s="25" customFormat="1" x14ac:dyDescent="0.25">
      <c r="A89" s="37"/>
      <c r="B89" s="37"/>
      <c r="C89" s="37"/>
      <c r="D89" s="37"/>
      <c r="E89" s="38"/>
      <c r="F89" s="39"/>
      <c r="G89" s="37"/>
      <c r="H89" s="37"/>
      <c r="I89" s="38"/>
      <c r="J89" s="39"/>
      <c r="K89" s="38"/>
      <c r="L89" s="39"/>
      <c r="M89" s="37"/>
      <c r="N89" s="60"/>
      <c r="O89" s="60"/>
      <c r="P89" s="40"/>
      <c r="R89" s="13"/>
      <c r="S89" s="13"/>
      <c r="T89" s="13"/>
    </row>
    <row r="90" spans="1:20" s="25" customFormat="1" x14ac:dyDescent="0.25">
      <c r="A90" s="37"/>
      <c r="B90" s="37"/>
      <c r="C90" s="37"/>
      <c r="D90" s="37"/>
      <c r="E90" s="38"/>
      <c r="F90" s="39"/>
      <c r="G90" s="37"/>
      <c r="H90" s="37"/>
      <c r="I90" s="38"/>
      <c r="J90" s="39"/>
      <c r="K90" s="38"/>
      <c r="L90" s="39"/>
      <c r="M90" s="37"/>
      <c r="N90" s="60"/>
      <c r="O90" s="60"/>
      <c r="P90" s="40"/>
      <c r="R90" s="13"/>
      <c r="S90" s="13"/>
      <c r="T90" s="13"/>
    </row>
    <row r="91" spans="1:20" s="25" customFormat="1" x14ac:dyDescent="0.25">
      <c r="A91" s="37"/>
      <c r="B91" s="37"/>
      <c r="C91" s="37"/>
      <c r="D91" s="37"/>
      <c r="E91" s="38"/>
      <c r="F91" s="39"/>
      <c r="G91" s="37"/>
      <c r="H91" s="37"/>
      <c r="I91" s="38"/>
      <c r="J91" s="39"/>
      <c r="K91" s="38"/>
      <c r="L91" s="39"/>
      <c r="M91" s="37"/>
      <c r="N91" s="60"/>
      <c r="O91" s="60"/>
      <c r="P91" s="40"/>
      <c r="R91" s="13"/>
      <c r="S91" s="13"/>
      <c r="T91" s="13"/>
    </row>
    <row r="92" spans="1:20" s="25" customFormat="1" x14ac:dyDescent="0.25">
      <c r="A92" s="37"/>
      <c r="B92" s="37"/>
      <c r="C92" s="37"/>
      <c r="D92" s="37"/>
      <c r="E92" s="38"/>
      <c r="F92" s="39"/>
      <c r="G92" s="37"/>
      <c r="H92" s="37"/>
      <c r="I92" s="38"/>
      <c r="J92" s="39"/>
      <c r="K92" s="38"/>
      <c r="L92" s="39"/>
      <c r="M92" s="37"/>
      <c r="N92" s="60"/>
      <c r="O92" s="60"/>
      <c r="P92" s="40"/>
      <c r="R92" s="13"/>
      <c r="S92" s="13"/>
      <c r="T92" s="13"/>
    </row>
    <row r="93" spans="1:20" s="25" customFormat="1" x14ac:dyDescent="0.25">
      <c r="A93" s="37"/>
      <c r="B93" s="37"/>
      <c r="C93" s="37"/>
      <c r="D93" s="37"/>
      <c r="E93" s="38"/>
      <c r="F93" s="39"/>
      <c r="G93" s="37"/>
      <c r="H93" s="37"/>
      <c r="I93" s="38"/>
      <c r="J93" s="39"/>
      <c r="K93" s="38"/>
      <c r="L93" s="39"/>
      <c r="M93" s="37"/>
      <c r="N93" s="60"/>
      <c r="O93" s="60"/>
      <c r="P93" s="40"/>
      <c r="R93" s="13"/>
      <c r="S93" s="13"/>
      <c r="T93" s="13"/>
    </row>
    <row r="94" spans="1:20" s="25" customFormat="1" x14ac:dyDescent="0.25">
      <c r="A94" s="37"/>
      <c r="B94" s="37"/>
      <c r="C94" s="37"/>
      <c r="D94" s="37"/>
      <c r="E94" s="38"/>
      <c r="F94" s="39"/>
      <c r="G94" s="37"/>
      <c r="H94" s="37"/>
      <c r="I94" s="38"/>
      <c r="J94" s="39"/>
      <c r="K94" s="38"/>
      <c r="L94" s="39"/>
      <c r="M94" s="37"/>
      <c r="N94" s="60"/>
      <c r="O94" s="60"/>
      <c r="P94" s="40"/>
      <c r="R94" s="13"/>
      <c r="S94" s="13"/>
      <c r="T94" s="13"/>
    </row>
    <row r="95" spans="1:20" s="25" customFormat="1" x14ac:dyDescent="0.25">
      <c r="A95" s="37"/>
      <c r="B95" s="37"/>
      <c r="C95" s="37"/>
      <c r="D95" s="37"/>
      <c r="E95" s="38"/>
      <c r="F95" s="39"/>
      <c r="G95" s="37"/>
      <c r="H95" s="37"/>
      <c r="I95" s="38"/>
      <c r="J95" s="39"/>
      <c r="K95" s="38"/>
      <c r="L95" s="39"/>
      <c r="M95" s="37"/>
      <c r="N95" s="60"/>
      <c r="O95" s="60"/>
      <c r="P95" s="40"/>
      <c r="R95" s="13"/>
      <c r="S95" s="13"/>
      <c r="T95" s="13"/>
    </row>
    <row r="96" spans="1:20" s="25" customFormat="1" x14ac:dyDescent="0.25">
      <c r="A96" s="37"/>
      <c r="B96" s="37"/>
      <c r="C96" s="37"/>
      <c r="D96" s="37"/>
      <c r="E96" s="38"/>
      <c r="F96" s="39"/>
      <c r="G96" s="37"/>
      <c r="H96" s="37"/>
      <c r="I96" s="38"/>
      <c r="J96" s="39"/>
      <c r="K96" s="38"/>
      <c r="L96" s="39"/>
      <c r="M96" s="37"/>
      <c r="N96" s="60"/>
      <c r="O96" s="60"/>
      <c r="P96" s="40"/>
      <c r="R96" s="13"/>
      <c r="S96" s="13"/>
      <c r="T96" s="13"/>
    </row>
    <row r="97" spans="1:20" s="25" customFormat="1" x14ac:dyDescent="0.25">
      <c r="A97" s="37"/>
      <c r="B97" s="37"/>
      <c r="C97" s="37"/>
      <c r="D97" s="37"/>
      <c r="E97" s="38"/>
      <c r="F97" s="39"/>
      <c r="G97" s="37"/>
      <c r="H97" s="37"/>
      <c r="I97" s="38"/>
      <c r="J97" s="39"/>
      <c r="K97" s="38"/>
      <c r="L97" s="39"/>
      <c r="M97" s="37"/>
      <c r="N97" s="60"/>
      <c r="O97" s="60"/>
      <c r="P97" s="40"/>
      <c r="R97" s="13"/>
      <c r="S97" s="13"/>
      <c r="T97" s="13"/>
    </row>
    <row r="98" spans="1:20" s="25" customFormat="1" x14ac:dyDescent="0.25">
      <c r="A98" s="37"/>
      <c r="B98" s="37"/>
      <c r="C98" s="37"/>
      <c r="D98" s="37"/>
      <c r="E98" s="38"/>
      <c r="F98" s="39"/>
      <c r="G98" s="37"/>
      <c r="H98" s="37"/>
      <c r="I98" s="38"/>
      <c r="J98" s="39"/>
      <c r="K98" s="38"/>
      <c r="L98" s="39"/>
      <c r="M98" s="37"/>
      <c r="N98" s="60"/>
      <c r="O98" s="60"/>
      <c r="P98" s="40"/>
      <c r="R98" s="13"/>
      <c r="S98" s="13"/>
      <c r="T98" s="13"/>
    </row>
    <row r="99" spans="1:20" s="25" customFormat="1" x14ac:dyDescent="0.25">
      <c r="A99" s="37"/>
      <c r="B99" s="37"/>
      <c r="C99" s="37"/>
      <c r="D99" s="37"/>
      <c r="E99" s="38"/>
      <c r="F99" s="39"/>
      <c r="G99" s="37"/>
      <c r="H99" s="37"/>
      <c r="I99" s="38"/>
      <c r="J99" s="39"/>
      <c r="K99" s="38"/>
      <c r="L99" s="39"/>
      <c r="M99" s="37"/>
      <c r="N99" s="60"/>
      <c r="O99" s="60"/>
      <c r="P99" s="40"/>
      <c r="R99" s="13"/>
      <c r="S99" s="13"/>
      <c r="T99" s="13"/>
    </row>
    <row r="100" spans="1:20" s="25" customFormat="1" x14ac:dyDescent="0.25">
      <c r="A100" s="37"/>
      <c r="B100" s="37"/>
      <c r="C100" s="37"/>
      <c r="D100" s="37"/>
      <c r="E100" s="38"/>
      <c r="F100" s="39"/>
      <c r="G100" s="37"/>
      <c r="H100" s="37"/>
      <c r="I100" s="38"/>
      <c r="J100" s="39"/>
      <c r="K100" s="38"/>
      <c r="L100" s="39"/>
      <c r="M100" s="37"/>
      <c r="N100" s="60"/>
      <c r="O100" s="60"/>
      <c r="P100" s="40"/>
      <c r="R100" s="13"/>
      <c r="S100" s="13"/>
      <c r="T100" s="13"/>
    </row>
    <row r="101" spans="1:20" s="25" customFormat="1" x14ac:dyDescent="0.25">
      <c r="A101" s="37"/>
      <c r="B101" s="37"/>
      <c r="C101" s="37"/>
      <c r="D101" s="37"/>
      <c r="E101" s="38"/>
      <c r="F101" s="39"/>
      <c r="G101" s="37"/>
      <c r="H101" s="37"/>
      <c r="I101" s="38"/>
      <c r="J101" s="39"/>
      <c r="K101" s="38"/>
      <c r="L101" s="39"/>
      <c r="M101" s="37"/>
      <c r="N101" s="60"/>
      <c r="O101" s="60"/>
      <c r="P101" s="40"/>
      <c r="R101" s="13"/>
      <c r="S101" s="13"/>
      <c r="T101" s="13"/>
    </row>
    <row r="102" spans="1:20" s="25" customFormat="1" x14ac:dyDescent="0.25">
      <c r="A102" s="37"/>
      <c r="B102" s="37"/>
      <c r="C102" s="37"/>
      <c r="D102" s="37"/>
      <c r="E102" s="38"/>
      <c r="F102" s="39"/>
      <c r="G102" s="37"/>
      <c r="H102" s="37"/>
      <c r="I102" s="38"/>
      <c r="J102" s="39"/>
      <c r="K102" s="38"/>
      <c r="L102" s="39"/>
      <c r="M102" s="37"/>
      <c r="N102" s="60"/>
      <c r="O102" s="60"/>
      <c r="P102" s="40"/>
      <c r="R102" s="13"/>
      <c r="S102" s="13"/>
      <c r="T102" s="13"/>
    </row>
    <row r="103" spans="1:20" s="25" customFormat="1" x14ac:dyDescent="0.25">
      <c r="A103" s="37"/>
      <c r="B103" s="37"/>
      <c r="C103" s="37"/>
      <c r="D103" s="37"/>
      <c r="E103" s="38"/>
      <c r="F103" s="39"/>
      <c r="G103" s="37"/>
      <c r="H103" s="37"/>
      <c r="I103" s="38"/>
      <c r="J103" s="39"/>
      <c r="K103" s="38"/>
      <c r="L103" s="39"/>
      <c r="M103" s="37"/>
      <c r="N103" s="60"/>
      <c r="O103" s="60"/>
      <c r="P103" s="40"/>
      <c r="R103" s="13"/>
      <c r="S103" s="13"/>
      <c r="T103" s="13"/>
    </row>
    <row r="104" spans="1:20" s="25" customFormat="1" x14ac:dyDescent="0.25">
      <c r="A104" s="37"/>
      <c r="B104" s="37"/>
      <c r="C104" s="37"/>
      <c r="D104" s="37"/>
      <c r="E104" s="38"/>
      <c r="F104" s="39"/>
      <c r="G104" s="37"/>
      <c r="H104" s="37"/>
      <c r="I104" s="38"/>
      <c r="J104" s="39"/>
      <c r="K104" s="38"/>
      <c r="L104" s="39"/>
      <c r="M104" s="37"/>
      <c r="N104" s="60"/>
      <c r="O104" s="60"/>
      <c r="P104" s="40"/>
      <c r="R104" s="13"/>
      <c r="S104" s="13"/>
      <c r="T104" s="13"/>
    </row>
    <row r="105" spans="1:20" s="25" customFormat="1" x14ac:dyDescent="0.25">
      <c r="A105" s="37"/>
      <c r="B105" s="37"/>
      <c r="C105" s="37"/>
      <c r="D105" s="37"/>
      <c r="E105" s="38"/>
      <c r="F105" s="39"/>
      <c r="G105" s="37"/>
      <c r="H105" s="37"/>
      <c r="I105" s="38"/>
      <c r="J105" s="39"/>
      <c r="K105" s="38"/>
      <c r="L105" s="39"/>
      <c r="M105" s="37"/>
      <c r="N105" s="60"/>
      <c r="O105" s="60"/>
      <c r="P105" s="40"/>
      <c r="R105" s="13"/>
      <c r="S105" s="13"/>
      <c r="T105" s="13"/>
    </row>
    <row r="106" spans="1:20" s="25" customFormat="1" x14ac:dyDescent="0.25">
      <c r="A106" s="37"/>
      <c r="B106" s="37"/>
      <c r="C106" s="37"/>
      <c r="D106" s="37"/>
      <c r="E106" s="38"/>
      <c r="F106" s="39"/>
      <c r="G106" s="37"/>
      <c r="H106" s="37"/>
      <c r="I106" s="38"/>
      <c r="J106" s="39"/>
      <c r="K106" s="38"/>
      <c r="L106" s="39"/>
      <c r="M106" s="37"/>
      <c r="N106" s="60"/>
      <c r="O106" s="60"/>
      <c r="P106" s="40"/>
      <c r="R106" s="13"/>
      <c r="S106" s="13"/>
      <c r="T106" s="13"/>
    </row>
    <row r="107" spans="1:20" s="25" customFormat="1" x14ac:dyDescent="0.25">
      <c r="A107" s="37"/>
      <c r="B107" s="37"/>
      <c r="C107" s="37"/>
      <c r="D107" s="37"/>
      <c r="E107" s="38"/>
      <c r="F107" s="39"/>
      <c r="G107" s="37"/>
      <c r="H107" s="37"/>
      <c r="I107" s="38"/>
      <c r="J107" s="39"/>
      <c r="K107" s="38"/>
      <c r="L107" s="39"/>
      <c r="M107" s="37"/>
      <c r="N107" s="60"/>
      <c r="O107" s="60"/>
      <c r="P107" s="40"/>
      <c r="R107" s="13"/>
      <c r="S107" s="13"/>
      <c r="T107" s="13"/>
    </row>
    <row r="108" spans="1:20" s="25" customFormat="1" x14ac:dyDescent="0.25">
      <c r="A108" s="37"/>
      <c r="B108" s="37"/>
      <c r="C108" s="37"/>
      <c r="D108" s="37"/>
      <c r="E108" s="38"/>
      <c r="F108" s="39"/>
      <c r="G108" s="37"/>
      <c r="H108" s="37"/>
      <c r="I108" s="38"/>
      <c r="J108" s="39"/>
      <c r="K108" s="38"/>
      <c r="L108" s="39"/>
      <c r="M108" s="37"/>
      <c r="N108" s="60"/>
      <c r="O108" s="60"/>
      <c r="P108" s="40"/>
      <c r="R108" s="13"/>
      <c r="S108" s="13"/>
      <c r="T108" s="13"/>
    </row>
    <row r="109" spans="1:20" s="25" customFormat="1" x14ac:dyDescent="0.25">
      <c r="A109" s="37"/>
      <c r="B109" s="37"/>
      <c r="C109" s="37"/>
      <c r="D109" s="37"/>
      <c r="E109" s="38"/>
      <c r="F109" s="39"/>
      <c r="G109" s="37"/>
      <c r="H109" s="37"/>
      <c r="I109" s="38"/>
      <c r="J109" s="39"/>
      <c r="K109" s="38"/>
      <c r="L109" s="39"/>
      <c r="M109" s="37"/>
      <c r="N109" s="60"/>
      <c r="O109" s="60"/>
      <c r="P109" s="40"/>
      <c r="R109" s="13"/>
      <c r="S109" s="13"/>
      <c r="T109" s="13"/>
    </row>
    <row r="110" spans="1:20" s="25" customFormat="1" x14ac:dyDescent="0.25">
      <c r="A110" s="37"/>
      <c r="B110" s="37"/>
      <c r="C110" s="37"/>
      <c r="D110" s="37"/>
      <c r="E110" s="38"/>
      <c r="F110" s="39"/>
      <c r="G110" s="37"/>
      <c r="H110" s="37"/>
      <c r="I110" s="38"/>
      <c r="J110" s="39"/>
      <c r="K110" s="38"/>
      <c r="L110" s="39"/>
      <c r="M110" s="37"/>
      <c r="N110" s="60"/>
      <c r="O110" s="60"/>
      <c r="P110" s="40"/>
      <c r="R110" s="13"/>
      <c r="S110" s="13"/>
      <c r="T110" s="13"/>
    </row>
    <row r="111" spans="1:20" s="25" customFormat="1" x14ac:dyDescent="0.25">
      <c r="A111" s="37"/>
      <c r="B111" s="37"/>
      <c r="C111" s="37"/>
      <c r="D111" s="37"/>
      <c r="E111" s="38"/>
      <c r="F111" s="39"/>
      <c r="G111" s="37"/>
      <c r="H111" s="37"/>
      <c r="I111" s="38"/>
      <c r="J111" s="39"/>
      <c r="K111" s="38"/>
      <c r="L111" s="39"/>
      <c r="M111" s="37"/>
      <c r="N111" s="60"/>
      <c r="O111" s="60"/>
      <c r="P111" s="40"/>
      <c r="R111" s="13"/>
      <c r="S111" s="13"/>
      <c r="T111" s="13"/>
    </row>
    <row r="112" spans="1:20" s="25" customFormat="1" x14ac:dyDescent="0.25">
      <c r="A112" s="37"/>
      <c r="B112" s="37"/>
      <c r="C112" s="37"/>
      <c r="D112" s="37"/>
      <c r="E112" s="38"/>
      <c r="F112" s="39"/>
      <c r="G112" s="37"/>
      <c r="H112" s="37"/>
      <c r="I112" s="38"/>
      <c r="J112" s="39"/>
      <c r="K112" s="38"/>
      <c r="L112" s="39"/>
      <c r="M112" s="37"/>
      <c r="N112" s="60"/>
      <c r="O112" s="60"/>
      <c r="P112" s="40"/>
      <c r="R112" s="13"/>
      <c r="S112" s="13"/>
      <c r="T112" s="13"/>
    </row>
    <row r="113" spans="1:20" s="25" customFormat="1" x14ac:dyDescent="0.25">
      <c r="A113" s="37"/>
      <c r="B113" s="37"/>
      <c r="C113" s="37"/>
      <c r="D113" s="37"/>
      <c r="E113" s="38"/>
      <c r="F113" s="39"/>
      <c r="G113" s="37"/>
      <c r="H113" s="37"/>
      <c r="I113" s="38"/>
      <c r="J113" s="39"/>
      <c r="K113" s="38"/>
      <c r="L113" s="39"/>
      <c r="M113" s="37"/>
      <c r="N113" s="60"/>
      <c r="O113" s="60"/>
      <c r="P113" s="40"/>
      <c r="R113" s="13"/>
      <c r="S113" s="13"/>
      <c r="T113" s="13"/>
    </row>
    <row r="114" spans="1:20" s="25" customFormat="1" x14ac:dyDescent="0.25">
      <c r="A114" s="37"/>
      <c r="B114" s="37"/>
      <c r="C114" s="37"/>
      <c r="D114" s="37"/>
      <c r="E114" s="38"/>
      <c r="F114" s="39"/>
      <c r="G114" s="37"/>
      <c r="H114" s="37"/>
      <c r="I114" s="38"/>
      <c r="J114" s="39"/>
      <c r="K114" s="38"/>
      <c r="L114" s="39"/>
      <c r="M114" s="37"/>
      <c r="N114" s="60"/>
      <c r="O114" s="60"/>
      <c r="P114" s="40"/>
      <c r="R114" s="13"/>
      <c r="S114" s="13"/>
      <c r="T114" s="13"/>
    </row>
    <row r="115" spans="1:20" s="25" customFormat="1" x14ac:dyDescent="0.25">
      <c r="A115" s="37"/>
      <c r="B115" s="37"/>
      <c r="C115" s="37"/>
      <c r="D115" s="37"/>
      <c r="E115" s="38"/>
      <c r="F115" s="39"/>
      <c r="G115" s="37"/>
      <c r="H115" s="37"/>
      <c r="I115" s="38"/>
      <c r="J115" s="39"/>
      <c r="K115" s="38"/>
      <c r="L115" s="39"/>
      <c r="M115" s="37"/>
      <c r="N115" s="60"/>
      <c r="O115" s="60"/>
      <c r="P115" s="40"/>
      <c r="R115" s="13"/>
      <c r="S115" s="13"/>
      <c r="T115" s="13"/>
    </row>
    <row r="116" spans="1:20" s="25" customFormat="1" x14ac:dyDescent="0.25">
      <c r="A116" s="37"/>
      <c r="B116" s="37"/>
      <c r="C116" s="37"/>
      <c r="D116" s="37"/>
      <c r="E116" s="38"/>
      <c r="F116" s="39"/>
      <c r="G116" s="37"/>
      <c r="H116" s="37"/>
      <c r="I116" s="38"/>
      <c r="J116" s="39"/>
      <c r="K116" s="38"/>
      <c r="L116" s="39"/>
      <c r="M116" s="37"/>
      <c r="N116" s="60"/>
      <c r="O116" s="60"/>
      <c r="P116" s="40"/>
      <c r="R116" s="13"/>
      <c r="S116" s="13"/>
      <c r="T116" s="13"/>
    </row>
    <row r="117" spans="1:20" s="25" customFormat="1" x14ac:dyDescent="0.25">
      <c r="A117" s="37"/>
      <c r="B117" s="37"/>
      <c r="C117" s="37"/>
      <c r="D117" s="37"/>
      <c r="E117" s="38"/>
      <c r="F117" s="39"/>
      <c r="G117" s="37"/>
      <c r="H117" s="37"/>
      <c r="I117" s="38"/>
      <c r="J117" s="39"/>
      <c r="K117" s="38"/>
      <c r="L117" s="39"/>
      <c r="M117" s="37"/>
      <c r="N117" s="60"/>
      <c r="O117" s="60"/>
      <c r="P117" s="40"/>
      <c r="R117" s="13"/>
      <c r="S117" s="13"/>
      <c r="T117" s="13"/>
    </row>
    <row r="118" spans="1:20" s="25" customFormat="1" x14ac:dyDescent="0.25">
      <c r="A118" s="37"/>
      <c r="B118" s="37"/>
      <c r="C118" s="37"/>
      <c r="D118" s="37"/>
      <c r="E118" s="38"/>
      <c r="F118" s="39"/>
      <c r="G118" s="37"/>
      <c r="H118" s="37"/>
      <c r="I118" s="38"/>
      <c r="J118" s="39"/>
      <c r="K118" s="38"/>
      <c r="L118" s="39"/>
      <c r="M118" s="37"/>
      <c r="N118" s="60"/>
      <c r="O118" s="60"/>
      <c r="P118" s="40"/>
      <c r="R118" s="13"/>
      <c r="S118" s="13"/>
      <c r="T118" s="13"/>
    </row>
    <row r="119" spans="1:20" s="25" customFormat="1" x14ac:dyDescent="0.25">
      <c r="A119" s="37"/>
      <c r="B119" s="37"/>
      <c r="C119" s="37"/>
      <c r="D119" s="37"/>
      <c r="E119" s="38"/>
      <c r="F119" s="39"/>
      <c r="G119" s="37"/>
      <c r="H119" s="37"/>
      <c r="I119" s="38"/>
      <c r="J119" s="39"/>
      <c r="K119" s="38"/>
      <c r="L119" s="39"/>
      <c r="M119" s="37"/>
      <c r="N119" s="60"/>
      <c r="O119" s="60"/>
      <c r="P119" s="40"/>
      <c r="R119" s="13"/>
      <c r="S119" s="13"/>
      <c r="T119" s="13"/>
    </row>
    <row r="120" spans="1:20" s="25" customFormat="1" x14ac:dyDescent="0.25">
      <c r="A120" s="37"/>
      <c r="B120" s="37"/>
      <c r="C120" s="37"/>
      <c r="D120" s="37"/>
      <c r="E120" s="38"/>
      <c r="F120" s="39"/>
      <c r="G120" s="37"/>
      <c r="H120" s="37"/>
      <c r="I120" s="38"/>
      <c r="J120" s="39"/>
      <c r="K120" s="38"/>
      <c r="L120" s="39"/>
      <c r="M120" s="37"/>
      <c r="N120" s="60"/>
      <c r="O120" s="60"/>
      <c r="P120" s="40"/>
      <c r="R120" s="13"/>
      <c r="S120" s="13"/>
      <c r="T120" s="13"/>
    </row>
    <row r="121" spans="1:20" s="25" customFormat="1" x14ac:dyDescent="0.25">
      <c r="A121" s="37"/>
      <c r="B121" s="37"/>
      <c r="C121" s="37"/>
      <c r="D121" s="37"/>
      <c r="E121" s="38"/>
      <c r="F121" s="39"/>
      <c r="G121" s="37"/>
      <c r="H121" s="37"/>
      <c r="I121" s="38"/>
      <c r="J121" s="39"/>
      <c r="K121" s="38"/>
      <c r="L121" s="39"/>
      <c r="M121" s="37"/>
      <c r="N121" s="60"/>
      <c r="O121" s="60"/>
      <c r="P121" s="40"/>
      <c r="R121" s="13"/>
      <c r="S121" s="13"/>
      <c r="T121" s="13"/>
    </row>
    <row r="122" spans="1:20" s="25" customFormat="1" x14ac:dyDescent="0.25">
      <c r="A122" s="37"/>
      <c r="B122" s="37"/>
      <c r="C122" s="37"/>
      <c r="D122" s="37"/>
      <c r="E122" s="38"/>
      <c r="F122" s="39"/>
      <c r="G122" s="37"/>
      <c r="H122" s="37"/>
      <c r="I122" s="38"/>
      <c r="J122" s="39"/>
      <c r="K122" s="38"/>
      <c r="L122" s="39"/>
      <c r="M122" s="37"/>
      <c r="N122" s="60"/>
      <c r="O122" s="60"/>
      <c r="P122" s="40"/>
      <c r="R122" s="13"/>
      <c r="S122" s="13"/>
      <c r="T122" s="13"/>
    </row>
    <row r="123" spans="1:20" s="25" customFormat="1" x14ac:dyDescent="0.25">
      <c r="A123" s="37"/>
      <c r="B123" s="37"/>
      <c r="C123" s="37"/>
      <c r="D123" s="37"/>
      <c r="E123" s="38"/>
      <c r="F123" s="39"/>
      <c r="G123" s="37"/>
      <c r="H123" s="37"/>
      <c r="I123" s="38"/>
      <c r="J123" s="39"/>
      <c r="K123" s="38"/>
      <c r="L123" s="39"/>
      <c r="M123" s="37"/>
      <c r="N123" s="60"/>
      <c r="O123" s="60"/>
      <c r="P123" s="40"/>
      <c r="R123" s="13"/>
      <c r="S123" s="13"/>
      <c r="T123" s="13"/>
    </row>
    <row r="124" spans="1:20" s="25" customFormat="1" x14ac:dyDescent="0.25">
      <c r="A124" s="37"/>
      <c r="B124" s="37"/>
      <c r="C124" s="37"/>
      <c r="D124" s="37"/>
      <c r="E124" s="38"/>
      <c r="F124" s="39"/>
      <c r="G124" s="37"/>
      <c r="H124" s="37"/>
      <c r="I124" s="38"/>
      <c r="J124" s="39"/>
      <c r="K124" s="38"/>
      <c r="L124" s="39"/>
      <c r="M124" s="37"/>
      <c r="N124" s="60"/>
      <c r="O124" s="60"/>
      <c r="P124" s="40"/>
      <c r="R124" s="13"/>
      <c r="S124" s="13"/>
      <c r="T124" s="13"/>
    </row>
    <row r="125" spans="1:20" s="25" customFormat="1" x14ac:dyDescent="0.25">
      <c r="A125" s="37"/>
      <c r="B125" s="37"/>
      <c r="C125" s="37"/>
      <c r="D125" s="37"/>
      <c r="E125" s="38"/>
      <c r="F125" s="39"/>
      <c r="G125" s="37"/>
      <c r="H125" s="37"/>
      <c r="I125" s="38"/>
      <c r="J125" s="39"/>
      <c r="K125" s="38"/>
      <c r="L125" s="39"/>
      <c r="M125" s="37"/>
      <c r="N125" s="60"/>
      <c r="O125" s="60"/>
      <c r="P125" s="40"/>
      <c r="R125" s="13"/>
      <c r="S125" s="13"/>
      <c r="T125" s="13"/>
    </row>
    <row r="126" spans="1:20" s="25" customFormat="1" x14ac:dyDescent="0.25">
      <c r="A126" s="37"/>
      <c r="B126" s="37"/>
      <c r="C126" s="37"/>
      <c r="D126" s="37"/>
      <c r="E126" s="38"/>
      <c r="F126" s="39"/>
      <c r="G126" s="37"/>
      <c r="H126" s="37"/>
      <c r="I126" s="38"/>
      <c r="J126" s="39"/>
      <c r="K126" s="38"/>
      <c r="L126" s="39"/>
      <c r="M126" s="37"/>
      <c r="N126" s="60"/>
      <c r="O126" s="60"/>
      <c r="P126" s="40"/>
      <c r="R126" s="13"/>
      <c r="S126" s="13"/>
      <c r="T126" s="13"/>
    </row>
    <row r="127" spans="1:20" s="25" customFormat="1" x14ac:dyDescent="0.25">
      <c r="A127" s="37"/>
      <c r="B127" s="37"/>
      <c r="C127" s="37"/>
      <c r="D127" s="37"/>
      <c r="E127" s="38"/>
      <c r="F127" s="39"/>
      <c r="G127" s="37"/>
      <c r="H127" s="37"/>
      <c r="I127" s="38"/>
      <c r="J127" s="39"/>
      <c r="K127" s="38"/>
      <c r="L127" s="39"/>
      <c r="M127" s="37"/>
      <c r="N127" s="60"/>
      <c r="O127" s="60"/>
      <c r="P127" s="40"/>
      <c r="R127" s="13"/>
      <c r="S127" s="13"/>
      <c r="T127" s="13"/>
    </row>
    <row r="128" spans="1:20" s="25" customFormat="1" x14ac:dyDescent="0.25">
      <c r="A128" s="37"/>
      <c r="B128" s="37"/>
      <c r="C128" s="37"/>
      <c r="D128" s="37"/>
      <c r="E128" s="38"/>
      <c r="F128" s="39"/>
      <c r="G128" s="37"/>
      <c r="H128" s="37"/>
      <c r="I128" s="38"/>
      <c r="J128" s="39"/>
      <c r="K128" s="38"/>
      <c r="L128" s="39"/>
      <c r="M128" s="37"/>
      <c r="N128" s="60"/>
      <c r="O128" s="60"/>
      <c r="P128" s="40"/>
      <c r="R128" s="13"/>
      <c r="S128" s="13"/>
      <c r="T128" s="13"/>
    </row>
    <row r="129" spans="1:20" s="25" customFormat="1" x14ac:dyDescent="0.25">
      <c r="A129" s="37"/>
      <c r="B129" s="37"/>
      <c r="C129" s="37"/>
      <c r="D129" s="37"/>
      <c r="E129" s="38"/>
      <c r="F129" s="39"/>
      <c r="G129" s="37"/>
      <c r="H129" s="37"/>
      <c r="I129" s="38"/>
      <c r="J129" s="39"/>
      <c r="K129" s="38"/>
      <c r="L129" s="39"/>
      <c r="M129" s="37"/>
      <c r="N129" s="60"/>
      <c r="O129" s="60"/>
      <c r="P129" s="40"/>
      <c r="R129" s="13"/>
      <c r="S129" s="13"/>
      <c r="T129" s="13"/>
    </row>
    <row r="130" spans="1:20" s="25" customFormat="1" x14ac:dyDescent="0.25">
      <c r="A130" s="37"/>
      <c r="B130" s="37"/>
      <c r="C130" s="37"/>
      <c r="D130" s="37"/>
      <c r="E130" s="38"/>
      <c r="F130" s="39"/>
      <c r="G130" s="37"/>
      <c r="H130" s="37"/>
      <c r="I130" s="38"/>
      <c r="J130" s="39"/>
      <c r="K130" s="38"/>
      <c r="L130" s="39"/>
      <c r="M130" s="37"/>
      <c r="N130" s="60"/>
      <c r="O130" s="60"/>
      <c r="P130" s="40"/>
      <c r="R130" s="13"/>
      <c r="S130" s="13"/>
      <c r="T130" s="13"/>
    </row>
    <row r="131" spans="1:20" s="25" customFormat="1" x14ac:dyDescent="0.25">
      <c r="A131" s="37"/>
      <c r="B131" s="37"/>
      <c r="C131" s="37"/>
      <c r="D131" s="37"/>
      <c r="E131" s="38"/>
      <c r="F131" s="39"/>
      <c r="G131" s="37"/>
      <c r="H131" s="37"/>
      <c r="I131" s="38"/>
      <c r="J131" s="39"/>
      <c r="K131" s="38"/>
      <c r="L131" s="39"/>
      <c r="M131" s="37"/>
      <c r="N131" s="60"/>
      <c r="O131" s="60"/>
      <c r="P131" s="40"/>
      <c r="R131" s="13"/>
      <c r="S131" s="13"/>
      <c r="T131" s="13"/>
    </row>
    <row r="132" spans="1:20" s="25" customFormat="1" x14ac:dyDescent="0.25">
      <c r="A132" s="37"/>
      <c r="B132" s="37"/>
      <c r="C132" s="37"/>
      <c r="D132" s="37"/>
      <c r="E132" s="38"/>
      <c r="F132" s="39"/>
      <c r="G132" s="37"/>
      <c r="H132" s="37"/>
      <c r="I132" s="38"/>
      <c r="J132" s="39"/>
      <c r="K132" s="38"/>
      <c r="L132" s="39"/>
      <c r="M132" s="37"/>
      <c r="N132" s="60"/>
      <c r="O132" s="60"/>
      <c r="P132" s="40"/>
      <c r="R132" s="13"/>
      <c r="S132" s="13"/>
      <c r="T132" s="13"/>
    </row>
    <row r="133" spans="1:20" s="25" customFormat="1" x14ac:dyDescent="0.25">
      <c r="A133" s="37"/>
      <c r="B133" s="37"/>
      <c r="C133" s="37"/>
      <c r="D133" s="37"/>
      <c r="E133" s="38"/>
      <c r="F133" s="39"/>
      <c r="G133" s="37"/>
      <c r="H133" s="37"/>
      <c r="I133" s="38"/>
      <c r="J133" s="39"/>
      <c r="K133" s="38"/>
      <c r="L133" s="39"/>
      <c r="M133" s="37"/>
      <c r="N133" s="60"/>
      <c r="O133" s="60"/>
      <c r="P133" s="40"/>
      <c r="R133" s="13"/>
      <c r="S133" s="13"/>
      <c r="T133" s="13"/>
    </row>
    <row r="134" spans="1:20" s="25" customFormat="1" x14ac:dyDescent="0.25">
      <c r="A134" s="37"/>
      <c r="B134" s="37"/>
      <c r="C134" s="37"/>
      <c r="D134" s="37"/>
      <c r="E134" s="38"/>
      <c r="F134" s="39"/>
      <c r="G134" s="37"/>
      <c r="H134" s="37"/>
      <c r="I134" s="38"/>
      <c r="J134" s="39"/>
      <c r="K134" s="38"/>
      <c r="L134" s="39"/>
      <c r="M134" s="37"/>
      <c r="N134" s="60"/>
      <c r="O134" s="60"/>
      <c r="P134" s="40"/>
      <c r="R134" s="13"/>
      <c r="S134" s="13"/>
      <c r="T134" s="13"/>
    </row>
    <row r="135" spans="1:20" s="25" customFormat="1" x14ac:dyDescent="0.25">
      <c r="A135" s="37"/>
      <c r="B135" s="37"/>
      <c r="C135" s="37"/>
      <c r="D135" s="37"/>
      <c r="E135" s="38"/>
      <c r="F135" s="39"/>
      <c r="G135" s="37"/>
      <c r="H135" s="37"/>
      <c r="I135" s="38"/>
      <c r="J135" s="39"/>
      <c r="K135" s="38"/>
      <c r="L135" s="39"/>
      <c r="M135" s="37"/>
      <c r="N135" s="60"/>
      <c r="O135" s="60"/>
      <c r="P135" s="40"/>
      <c r="R135" s="13"/>
      <c r="S135" s="13"/>
      <c r="T135" s="13"/>
    </row>
    <row r="136" spans="1:20" s="25" customFormat="1" x14ac:dyDescent="0.25">
      <c r="A136" s="37"/>
      <c r="B136" s="37"/>
      <c r="C136" s="37"/>
      <c r="D136" s="37"/>
      <c r="E136" s="38"/>
      <c r="F136" s="39"/>
      <c r="G136" s="37"/>
      <c r="H136" s="37"/>
      <c r="I136" s="38"/>
      <c r="J136" s="39"/>
      <c r="K136" s="38"/>
      <c r="L136" s="39"/>
      <c r="M136" s="37"/>
      <c r="N136" s="60"/>
      <c r="O136" s="60"/>
      <c r="P136" s="40"/>
      <c r="R136" s="13"/>
      <c r="S136" s="13"/>
      <c r="T136" s="13"/>
    </row>
    <row r="137" spans="1:20" s="25" customFormat="1" x14ac:dyDescent="0.25">
      <c r="A137" s="37"/>
      <c r="B137" s="37"/>
      <c r="C137" s="37"/>
      <c r="D137" s="37"/>
      <c r="E137" s="38"/>
      <c r="F137" s="39"/>
      <c r="G137" s="37"/>
      <c r="H137" s="37"/>
      <c r="I137" s="38"/>
      <c r="J137" s="39"/>
      <c r="K137" s="38"/>
      <c r="L137" s="39"/>
      <c r="M137" s="37"/>
      <c r="N137" s="60"/>
      <c r="O137" s="60"/>
      <c r="P137" s="40"/>
      <c r="R137" s="13"/>
      <c r="S137" s="13"/>
      <c r="T137" s="13"/>
    </row>
    <row r="138" spans="1:20" s="25" customFormat="1" x14ac:dyDescent="0.25">
      <c r="A138" s="37"/>
      <c r="B138" s="37"/>
      <c r="C138" s="37"/>
      <c r="D138" s="37"/>
      <c r="E138" s="38"/>
      <c r="F138" s="39"/>
      <c r="G138" s="37"/>
      <c r="H138" s="37"/>
      <c r="I138" s="38"/>
      <c r="J138" s="39"/>
      <c r="K138" s="38"/>
      <c r="L138" s="39"/>
      <c r="M138" s="37"/>
      <c r="N138" s="60"/>
      <c r="O138" s="60"/>
      <c r="P138" s="40"/>
      <c r="R138" s="13"/>
      <c r="S138" s="13"/>
      <c r="T138" s="13"/>
    </row>
    <row r="139" spans="1:20" s="25" customFormat="1" x14ac:dyDescent="0.25">
      <c r="A139" s="37"/>
      <c r="B139" s="37"/>
      <c r="C139" s="37"/>
      <c r="D139" s="37"/>
      <c r="E139" s="38"/>
      <c r="F139" s="39"/>
      <c r="G139" s="37"/>
      <c r="H139" s="37"/>
      <c r="I139" s="38"/>
      <c r="J139" s="39"/>
      <c r="K139" s="38"/>
      <c r="L139" s="39"/>
      <c r="M139" s="37"/>
      <c r="N139" s="60"/>
      <c r="O139" s="60"/>
      <c r="P139" s="40"/>
      <c r="R139" s="13"/>
      <c r="S139" s="13"/>
      <c r="T139" s="13"/>
    </row>
    <row r="140" spans="1:20" s="25" customFormat="1" x14ac:dyDescent="0.25">
      <c r="A140" s="37"/>
      <c r="B140" s="37"/>
      <c r="C140" s="37"/>
      <c r="D140" s="37"/>
      <c r="E140" s="38"/>
      <c r="F140" s="39"/>
      <c r="G140" s="37"/>
      <c r="H140" s="37"/>
      <c r="I140" s="38"/>
      <c r="J140" s="39"/>
      <c r="K140" s="38"/>
      <c r="L140" s="39"/>
      <c r="M140" s="37"/>
      <c r="N140" s="60"/>
      <c r="O140" s="60"/>
      <c r="P140" s="40"/>
      <c r="R140" s="13"/>
      <c r="S140" s="13"/>
      <c r="T140" s="13"/>
    </row>
    <row r="141" spans="1:20" s="25" customFormat="1" x14ac:dyDescent="0.25">
      <c r="A141" s="37"/>
      <c r="B141" s="37"/>
      <c r="C141" s="37"/>
      <c r="D141" s="37"/>
      <c r="E141" s="38"/>
      <c r="F141" s="39"/>
      <c r="G141" s="37"/>
      <c r="H141" s="37"/>
      <c r="I141" s="38"/>
      <c r="J141" s="39"/>
      <c r="K141" s="38"/>
      <c r="L141" s="39"/>
      <c r="M141" s="37"/>
      <c r="N141" s="60"/>
      <c r="O141" s="60"/>
      <c r="P141" s="40"/>
      <c r="R141" s="13"/>
      <c r="S141" s="13"/>
      <c r="T141" s="13"/>
    </row>
    <row r="142" spans="1:20" s="25" customFormat="1" x14ac:dyDescent="0.25">
      <c r="A142" s="37"/>
      <c r="B142" s="37"/>
      <c r="C142" s="37"/>
      <c r="D142" s="37"/>
      <c r="E142" s="38"/>
      <c r="F142" s="39"/>
      <c r="G142" s="37"/>
      <c r="H142" s="37"/>
      <c r="I142" s="38"/>
      <c r="J142" s="39"/>
      <c r="K142" s="38"/>
      <c r="L142" s="39"/>
      <c r="M142" s="37"/>
      <c r="N142" s="60"/>
      <c r="O142" s="60"/>
      <c r="P142" s="40"/>
      <c r="R142" s="13"/>
      <c r="S142" s="13"/>
      <c r="T142" s="13"/>
    </row>
    <row r="143" spans="1:20" s="25" customFormat="1" x14ac:dyDescent="0.25">
      <c r="A143" s="37"/>
      <c r="B143" s="37"/>
      <c r="C143" s="37"/>
      <c r="D143" s="37"/>
      <c r="E143" s="38"/>
      <c r="F143" s="39"/>
      <c r="G143" s="37"/>
      <c r="H143" s="37"/>
      <c r="I143" s="38"/>
      <c r="J143" s="39"/>
      <c r="K143" s="38"/>
      <c r="L143" s="39"/>
      <c r="M143" s="37"/>
      <c r="N143" s="60"/>
      <c r="O143" s="60"/>
      <c r="P143" s="40"/>
      <c r="R143" s="13"/>
      <c r="S143" s="13"/>
      <c r="T143" s="13"/>
    </row>
    <row r="144" spans="1:20" s="25" customFormat="1" x14ac:dyDescent="0.25">
      <c r="A144" s="37"/>
      <c r="B144" s="37"/>
      <c r="C144" s="37"/>
      <c r="D144" s="37"/>
      <c r="E144" s="38"/>
      <c r="F144" s="39"/>
      <c r="G144" s="37"/>
      <c r="H144" s="37"/>
      <c r="I144" s="38"/>
      <c r="J144" s="39"/>
      <c r="K144" s="38"/>
      <c r="L144" s="39"/>
      <c r="M144" s="37"/>
      <c r="N144" s="60"/>
      <c r="O144" s="60"/>
      <c r="P144" s="40"/>
      <c r="R144" s="13"/>
      <c r="S144" s="13"/>
      <c r="T144" s="13"/>
    </row>
    <row r="145" spans="1:20" s="25" customFormat="1" x14ac:dyDescent="0.25">
      <c r="A145" s="37"/>
      <c r="B145" s="37"/>
      <c r="C145" s="37"/>
      <c r="D145" s="37"/>
      <c r="E145" s="38"/>
      <c r="F145" s="39"/>
      <c r="G145" s="37"/>
      <c r="H145" s="37"/>
      <c r="I145" s="38"/>
      <c r="J145" s="39"/>
      <c r="K145" s="38"/>
      <c r="L145" s="39"/>
      <c r="M145" s="37"/>
      <c r="N145" s="60"/>
      <c r="O145" s="60"/>
      <c r="P145" s="40"/>
      <c r="R145" s="13"/>
      <c r="S145" s="13"/>
      <c r="T145" s="13"/>
    </row>
    <row r="146" spans="1:20" s="25" customFormat="1" x14ac:dyDescent="0.25">
      <c r="A146" s="37"/>
      <c r="B146" s="37"/>
      <c r="C146" s="37"/>
      <c r="D146" s="37"/>
      <c r="E146" s="38"/>
      <c r="F146" s="39"/>
      <c r="G146" s="37"/>
      <c r="H146" s="37"/>
      <c r="I146" s="38"/>
      <c r="J146" s="39"/>
      <c r="K146" s="38"/>
      <c r="L146" s="39"/>
      <c r="M146" s="37"/>
      <c r="N146" s="60"/>
      <c r="O146" s="60"/>
      <c r="P146" s="40"/>
      <c r="R146" s="13"/>
      <c r="S146" s="13"/>
      <c r="T146" s="13"/>
    </row>
    <row r="147" spans="1:20" s="25" customFormat="1" x14ac:dyDescent="0.25">
      <c r="A147" s="37"/>
      <c r="B147" s="37"/>
      <c r="C147" s="37"/>
      <c r="D147" s="37"/>
      <c r="E147" s="38"/>
      <c r="F147" s="39"/>
      <c r="G147" s="37"/>
      <c r="H147" s="37"/>
      <c r="I147" s="38"/>
      <c r="J147" s="39"/>
      <c r="K147" s="38"/>
      <c r="L147" s="39"/>
      <c r="M147" s="37"/>
      <c r="N147" s="60"/>
      <c r="O147" s="60"/>
      <c r="P147" s="40"/>
      <c r="R147" s="13"/>
      <c r="S147" s="13"/>
      <c r="T147" s="13"/>
    </row>
    <row r="148" spans="1:20" s="25" customFormat="1" x14ac:dyDescent="0.25">
      <c r="A148" s="37"/>
      <c r="B148" s="37"/>
      <c r="C148" s="37"/>
      <c r="D148" s="37"/>
      <c r="E148" s="38"/>
      <c r="F148" s="39"/>
      <c r="G148" s="37"/>
      <c r="H148" s="37"/>
      <c r="I148" s="38"/>
      <c r="J148" s="39"/>
      <c r="K148" s="38"/>
      <c r="L148" s="39"/>
      <c r="M148" s="37"/>
      <c r="N148" s="60"/>
      <c r="O148" s="60"/>
      <c r="P148" s="40"/>
      <c r="R148" s="13"/>
      <c r="S148" s="13"/>
      <c r="T148" s="13"/>
    </row>
    <row r="149" spans="1:20" s="25" customFormat="1" x14ac:dyDescent="0.25">
      <c r="A149" s="37"/>
      <c r="B149" s="37"/>
      <c r="C149" s="37"/>
      <c r="D149" s="37"/>
      <c r="E149" s="38"/>
      <c r="F149" s="39"/>
      <c r="G149" s="37"/>
      <c r="H149" s="37"/>
      <c r="I149" s="38"/>
      <c r="J149" s="39"/>
      <c r="K149" s="38"/>
      <c r="L149" s="39"/>
      <c r="M149" s="37"/>
      <c r="N149" s="60"/>
      <c r="O149" s="60"/>
      <c r="P149" s="40"/>
      <c r="R149" s="13"/>
      <c r="S149" s="13"/>
      <c r="T149" s="13"/>
    </row>
    <row r="150" spans="1:20" s="25" customFormat="1" x14ac:dyDescent="0.25">
      <c r="A150" s="37"/>
      <c r="B150" s="37"/>
      <c r="C150" s="37"/>
      <c r="D150" s="37"/>
      <c r="E150" s="38"/>
      <c r="F150" s="39"/>
      <c r="G150" s="37"/>
      <c r="H150" s="37"/>
      <c r="I150" s="38"/>
      <c r="J150" s="39"/>
      <c r="K150" s="38"/>
      <c r="L150" s="39"/>
      <c r="M150" s="37"/>
      <c r="N150" s="60"/>
      <c r="O150" s="60"/>
      <c r="P150" s="40"/>
      <c r="R150" s="13"/>
      <c r="S150" s="13"/>
      <c r="T150" s="13"/>
    </row>
    <row r="151" spans="1:20" s="25" customFormat="1" x14ac:dyDescent="0.25">
      <c r="A151" s="37"/>
      <c r="B151" s="37"/>
      <c r="C151" s="37"/>
      <c r="D151" s="37"/>
      <c r="E151" s="38"/>
      <c r="F151" s="39"/>
      <c r="G151" s="37"/>
      <c r="H151" s="37"/>
      <c r="I151" s="38"/>
      <c r="J151" s="39"/>
      <c r="K151" s="38"/>
      <c r="L151" s="39"/>
      <c r="M151" s="37"/>
      <c r="N151" s="60"/>
      <c r="O151" s="60"/>
      <c r="P151" s="40"/>
      <c r="R151" s="13"/>
      <c r="S151" s="13"/>
      <c r="T151" s="13"/>
    </row>
    <row r="152" spans="1:20" s="25" customFormat="1" x14ac:dyDescent="0.25">
      <c r="A152" s="37"/>
      <c r="B152" s="37"/>
      <c r="C152" s="37"/>
      <c r="D152" s="37"/>
      <c r="E152" s="38"/>
      <c r="F152" s="39"/>
      <c r="G152" s="37"/>
      <c r="H152" s="37"/>
      <c r="I152" s="38"/>
      <c r="J152" s="39"/>
      <c r="K152" s="38"/>
      <c r="L152" s="39"/>
      <c r="M152" s="37"/>
      <c r="N152" s="60"/>
      <c r="O152" s="60"/>
      <c r="P152" s="40"/>
      <c r="R152" s="13"/>
      <c r="S152" s="13"/>
      <c r="T152" s="13"/>
    </row>
    <row r="153" spans="1:20" s="25" customFormat="1" x14ac:dyDescent="0.25">
      <c r="A153" s="37"/>
      <c r="B153" s="37"/>
      <c r="C153" s="37"/>
      <c r="D153" s="37"/>
      <c r="E153" s="38"/>
      <c r="F153" s="39"/>
      <c r="G153" s="37"/>
      <c r="H153" s="37"/>
      <c r="I153" s="38"/>
      <c r="J153" s="39"/>
      <c r="K153" s="38"/>
      <c r="L153" s="39"/>
      <c r="M153" s="37"/>
      <c r="N153" s="60"/>
      <c r="O153" s="60"/>
      <c r="P153" s="40"/>
      <c r="R153" s="13"/>
      <c r="S153" s="13"/>
      <c r="T153" s="13"/>
    </row>
    <row r="154" spans="1:20" s="25" customFormat="1" x14ac:dyDescent="0.25">
      <c r="A154" s="37"/>
      <c r="B154" s="37"/>
      <c r="C154" s="37"/>
      <c r="D154" s="37"/>
      <c r="E154" s="38"/>
      <c r="F154" s="39"/>
      <c r="G154" s="37"/>
      <c r="H154" s="37"/>
      <c r="I154" s="38"/>
      <c r="J154" s="39"/>
      <c r="K154" s="38"/>
      <c r="L154" s="39"/>
      <c r="M154" s="37"/>
      <c r="N154" s="60"/>
      <c r="O154" s="60"/>
      <c r="P154" s="40"/>
      <c r="R154" s="13"/>
      <c r="S154" s="13"/>
      <c r="T154" s="13"/>
    </row>
    <row r="155" spans="1:20" s="25" customFormat="1" x14ac:dyDescent="0.25">
      <c r="A155" s="37"/>
      <c r="B155" s="37"/>
      <c r="C155" s="37"/>
      <c r="D155" s="37"/>
      <c r="E155" s="38"/>
      <c r="F155" s="39"/>
      <c r="G155" s="37"/>
      <c r="H155" s="37"/>
      <c r="I155" s="38"/>
      <c r="J155" s="39"/>
      <c r="K155" s="38"/>
      <c r="L155" s="39"/>
      <c r="M155" s="37"/>
      <c r="N155" s="60"/>
      <c r="O155" s="60"/>
      <c r="P155" s="40"/>
      <c r="R155" s="13"/>
      <c r="S155" s="13"/>
      <c r="T155" s="13"/>
    </row>
    <row r="156" spans="1:20" s="25" customFormat="1" x14ac:dyDescent="0.25">
      <c r="A156" s="37"/>
      <c r="B156" s="37"/>
      <c r="C156" s="37"/>
      <c r="D156" s="37"/>
      <c r="E156" s="38"/>
      <c r="F156" s="39"/>
      <c r="G156" s="37"/>
      <c r="H156" s="37"/>
      <c r="I156" s="38"/>
      <c r="J156" s="39"/>
      <c r="K156" s="38"/>
      <c r="L156" s="39"/>
      <c r="M156" s="37"/>
      <c r="N156" s="60"/>
      <c r="O156" s="60"/>
      <c r="P156" s="40"/>
      <c r="R156" s="13"/>
      <c r="S156" s="13"/>
      <c r="T156" s="13"/>
    </row>
    <row r="157" spans="1:20" s="25" customFormat="1" x14ac:dyDescent="0.25">
      <c r="A157" s="37"/>
      <c r="B157" s="37"/>
      <c r="C157" s="37"/>
      <c r="D157" s="37"/>
      <c r="E157" s="38"/>
      <c r="F157" s="39"/>
      <c r="G157" s="37"/>
      <c r="H157" s="37"/>
      <c r="I157" s="38"/>
      <c r="J157" s="39"/>
      <c r="K157" s="38"/>
      <c r="L157" s="39"/>
      <c r="M157" s="37"/>
      <c r="N157" s="60"/>
      <c r="O157" s="60"/>
      <c r="P157" s="40"/>
      <c r="R157" s="13"/>
      <c r="S157" s="13"/>
      <c r="T157" s="13"/>
    </row>
    <row r="158" spans="1:20" s="25" customFormat="1" x14ac:dyDescent="0.25">
      <c r="A158" s="37"/>
      <c r="B158" s="37"/>
      <c r="C158" s="37"/>
      <c r="D158" s="37"/>
      <c r="E158" s="38"/>
      <c r="F158" s="39"/>
      <c r="G158" s="37"/>
      <c r="H158" s="37"/>
      <c r="I158" s="38"/>
      <c r="J158" s="39"/>
      <c r="K158" s="38"/>
      <c r="L158" s="39"/>
      <c r="M158" s="37"/>
      <c r="N158" s="60"/>
      <c r="O158" s="60"/>
      <c r="P158" s="40"/>
      <c r="R158" s="13"/>
      <c r="S158" s="13"/>
      <c r="T158" s="13"/>
    </row>
    <row r="159" spans="1:20" s="25" customFormat="1" x14ac:dyDescent="0.25">
      <c r="A159" s="37"/>
      <c r="B159" s="37"/>
      <c r="C159" s="37"/>
      <c r="D159" s="37"/>
      <c r="E159" s="38"/>
      <c r="F159" s="39"/>
      <c r="G159" s="37"/>
      <c r="H159" s="37"/>
      <c r="I159" s="38"/>
      <c r="J159" s="39"/>
      <c r="K159" s="38"/>
      <c r="L159" s="39"/>
      <c r="M159" s="37"/>
      <c r="N159" s="60"/>
      <c r="O159" s="60"/>
      <c r="P159" s="40"/>
      <c r="R159" s="13"/>
      <c r="S159" s="13"/>
      <c r="T159" s="13"/>
    </row>
    <row r="160" spans="1:20" s="25" customFormat="1" x14ac:dyDescent="0.25">
      <c r="A160" s="37"/>
      <c r="B160" s="37"/>
      <c r="C160" s="37"/>
      <c r="D160" s="37"/>
      <c r="E160" s="38"/>
      <c r="F160" s="39"/>
      <c r="G160" s="37"/>
      <c r="H160" s="37"/>
      <c r="I160" s="38"/>
      <c r="J160" s="39"/>
      <c r="K160" s="38"/>
      <c r="L160" s="39"/>
      <c r="M160" s="37"/>
      <c r="N160" s="60"/>
      <c r="O160" s="60"/>
      <c r="P160" s="40"/>
      <c r="R160" s="13"/>
      <c r="S160" s="13"/>
      <c r="T160" s="13"/>
    </row>
    <row r="161" spans="1:20" s="25" customFormat="1" x14ac:dyDescent="0.25">
      <c r="A161" s="37"/>
      <c r="B161" s="37"/>
      <c r="C161" s="37"/>
      <c r="D161" s="37"/>
      <c r="E161" s="38"/>
      <c r="F161" s="39"/>
      <c r="G161" s="37"/>
      <c r="H161" s="37"/>
      <c r="I161" s="38"/>
      <c r="J161" s="39"/>
      <c r="K161" s="38"/>
      <c r="L161" s="39"/>
      <c r="M161" s="37"/>
      <c r="N161" s="60"/>
      <c r="O161" s="60"/>
      <c r="P161" s="40"/>
      <c r="R161" s="13"/>
      <c r="S161" s="13"/>
      <c r="T161" s="13"/>
    </row>
    <row r="162" spans="1:20" s="25" customFormat="1" x14ac:dyDescent="0.25">
      <c r="A162" s="37"/>
      <c r="B162" s="37"/>
      <c r="C162" s="37"/>
      <c r="D162" s="37"/>
      <c r="E162" s="38"/>
      <c r="F162" s="39"/>
      <c r="G162" s="37"/>
      <c r="H162" s="37"/>
      <c r="I162" s="38"/>
      <c r="J162" s="39"/>
      <c r="K162" s="38"/>
      <c r="L162" s="39"/>
      <c r="M162" s="37"/>
      <c r="N162" s="60"/>
      <c r="O162" s="60"/>
      <c r="P162" s="40"/>
      <c r="R162" s="13"/>
      <c r="S162" s="13"/>
      <c r="T162" s="13"/>
    </row>
    <row r="163" spans="1:20" s="25" customFormat="1" x14ac:dyDescent="0.25">
      <c r="A163" s="37"/>
      <c r="B163" s="37"/>
      <c r="C163" s="37"/>
      <c r="D163" s="37"/>
      <c r="E163" s="38"/>
      <c r="F163" s="39"/>
      <c r="G163" s="37"/>
      <c r="H163" s="37"/>
      <c r="I163" s="38"/>
      <c r="J163" s="39"/>
      <c r="K163" s="38"/>
      <c r="L163" s="39"/>
      <c r="M163" s="37"/>
      <c r="N163" s="60"/>
      <c r="O163" s="60"/>
      <c r="P163" s="40"/>
      <c r="R163" s="13"/>
      <c r="S163" s="13"/>
      <c r="T163" s="13"/>
    </row>
    <row r="164" spans="1:20" s="25" customFormat="1" x14ac:dyDescent="0.25">
      <c r="A164" s="37"/>
      <c r="B164" s="37"/>
      <c r="C164" s="37"/>
      <c r="D164" s="37"/>
      <c r="E164" s="38"/>
      <c r="F164" s="39"/>
      <c r="G164" s="37"/>
      <c r="H164" s="37"/>
      <c r="I164" s="38"/>
      <c r="J164" s="39"/>
      <c r="K164" s="38"/>
      <c r="L164" s="39"/>
      <c r="M164" s="37"/>
      <c r="N164" s="60"/>
      <c r="O164" s="60"/>
      <c r="P164" s="40"/>
      <c r="R164" s="13"/>
      <c r="S164" s="13"/>
      <c r="T164" s="13"/>
    </row>
    <row r="165" spans="1:20" s="25" customFormat="1" x14ac:dyDescent="0.25">
      <c r="A165" s="37"/>
      <c r="B165" s="37"/>
      <c r="C165" s="37"/>
      <c r="D165" s="37"/>
      <c r="E165" s="38"/>
      <c r="F165" s="39"/>
      <c r="G165" s="37"/>
      <c r="H165" s="37"/>
      <c r="I165" s="38"/>
      <c r="J165" s="39"/>
      <c r="K165" s="38"/>
      <c r="L165" s="39"/>
      <c r="M165" s="37"/>
      <c r="N165" s="60"/>
      <c r="O165" s="60"/>
      <c r="P165" s="40"/>
      <c r="R165" s="13"/>
      <c r="S165" s="13"/>
      <c r="T165" s="13"/>
    </row>
    <row r="166" spans="1:20" s="25" customFormat="1" x14ac:dyDescent="0.25">
      <c r="A166" s="37"/>
      <c r="B166" s="37"/>
      <c r="C166" s="37"/>
      <c r="D166" s="37"/>
      <c r="E166" s="38"/>
      <c r="F166" s="39"/>
      <c r="G166" s="37"/>
      <c r="H166" s="37"/>
      <c r="I166" s="38"/>
      <c r="J166" s="39"/>
      <c r="K166" s="38"/>
      <c r="L166" s="39"/>
      <c r="M166" s="37"/>
      <c r="N166" s="60"/>
      <c r="O166" s="60"/>
      <c r="P166" s="40"/>
      <c r="R166" s="13"/>
      <c r="S166" s="13"/>
      <c r="T166" s="13"/>
    </row>
    <row r="167" spans="1:20" s="25" customFormat="1" x14ac:dyDescent="0.25">
      <c r="A167" s="37"/>
      <c r="B167" s="37"/>
      <c r="C167" s="37"/>
      <c r="D167" s="37"/>
      <c r="E167" s="38"/>
      <c r="F167" s="39"/>
      <c r="G167" s="37"/>
      <c r="H167" s="37"/>
      <c r="I167" s="38"/>
      <c r="J167" s="39"/>
      <c r="K167" s="38"/>
      <c r="L167" s="39"/>
      <c r="M167" s="37"/>
      <c r="N167" s="60"/>
      <c r="O167" s="60"/>
      <c r="P167" s="40"/>
      <c r="R167" s="13"/>
      <c r="S167" s="13"/>
      <c r="T167" s="13"/>
    </row>
    <row r="168" spans="1:20" s="25" customFormat="1" x14ac:dyDescent="0.25">
      <c r="A168" s="37"/>
      <c r="B168" s="37"/>
      <c r="C168" s="37"/>
      <c r="D168" s="37"/>
      <c r="E168" s="38"/>
      <c r="F168" s="39"/>
      <c r="G168" s="37"/>
      <c r="H168" s="37"/>
      <c r="I168" s="38"/>
      <c r="J168" s="39"/>
      <c r="K168" s="38"/>
      <c r="L168" s="39"/>
      <c r="M168" s="37"/>
      <c r="N168" s="60"/>
      <c r="O168" s="60"/>
      <c r="P168" s="40"/>
      <c r="R168" s="13"/>
      <c r="S168" s="13"/>
      <c r="T168" s="13"/>
    </row>
    <row r="169" spans="1:20" s="25" customFormat="1" x14ac:dyDescent="0.25">
      <c r="A169" s="37"/>
      <c r="B169" s="37"/>
      <c r="C169" s="37"/>
      <c r="D169" s="37"/>
      <c r="E169" s="38"/>
      <c r="F169" s="39"/>
      <c r="G169" s="37"/>
      <c r="H169" s="37"/>
      <c r="I169" s="38"/>
      <c r="J169" s="39"/>
      <c r="K169" s="38"/>
      <c r="L169" s="39"/>
      <c r="M169" s="37"/>
      <c r="N169" s="60"/>
      <c r="O169" s="60"/>
      <c r="P169" s="40"/>
      <c r="R169" s="13"/>
      <c r="S169" s="13"/>
      <c r="T169" s="13"/>
    </row>
    <row r="170" spans="1:20" s="25" customFormat="1" x14ac:dyDescent="0.25">
      <c r="A170" s="37"/>
      <c r="B170" s="37"/>
      <c r="C170" s="37"/>
      <c r="D170" s="37"/>
      <c r="E170" s="38"/>
      <c r="F170" s="39"/>
      <c r="G170" s="37"/>
      <c r="H170" s="37"/>
      <c r="I170" s="38"/>
      <c r="J170" s="39"/>
      <c r="K170" s="38"/>
      <c r="L170" s="39"/>
      <c r="M170" s="37"/>
      <c r="N170" s="60"/>
      <c r="O170" s="60"/>
      <c r="P170" s="40"/>
      <c r="R170" s="13"/>
      <c r="S170" s="13"/>
      <c r="T170" s="13"/>
    </row>
    <row r="171" spans="1:20" s="25" customFormat="1" x14ac:dyDescent="0.25">
      <c r="A171" s="37"/>
      <c r="B171" s="37"/>
      <c r="C171" s="37"/>
      <c r="D171" s="37"/>
      <c r="E171" s="38"/>
      <c r="F171" s="39"/>
      <c r="G171" s="37"/>
      <c r="H171" s="37"/>
      <c r="I171" s="38"/>
      <c r="J171" s="39"/>
      <c r="K171" s="38"/>
      <c r="L171" s="39"/>
      <c r="M171" s="37"/>
      <c r="N171" s="60"/>
      <c r="O171" s="60"/>
      <c r="P171" s="40"/>
      <c r="R171" s="13"/>
      <c r="S171" s="13"/>
      <c r="T171" s="13"/>
    </row>
    <row r="172" spans="1:20" s="25" customFormat="1" x14ac:dyDescent="0.25">
      <c r="A172" s="37"/>
      <c r="B172" s="37"/>
      <c r="C172" s="37"/>
      <c r="D172" s="37"/>
      <c r="E172" s="38"/>
      <c r="F172" s="39"/>
      <c r="G172" s="37"/>
      <c r="H172" s="37"/>
      <c r="I172" s="38"/>
      <c r="J172" s="39"/>
      <c r="K172" s="38"/>
      <c r="L172" s="39"/>
      <c r="M172" s="37"/>
      <c r="N172" s="60"/>
      <c r="O172" s="60"/>
      <c r="P172" s="40"/>
      <c r="R172" s="13"/>
      <c r="S172" s="13"/>
      <c r="T172" s="13"/>
    </row>
    <row r="173" spans="1:20" s="25" customFormat="1" x14ac:dyDescent="0.25">
      <c r="A173" s="37"/>
      <c r="B173" s="37"/>
      <c r="C173" s="37"/>
      <c r="D173" s="37"/>
      <c r="E173" s="38"/>
      <c r="F173" s="39"/>
      <c r="G173" s="37"/>
      <c r="H173" s="37"/>
      <c r="I173" s="38"/>
      <c r="J173" s="39"/>
      <c r="K173" s="38"/>
      <c r="L173" s="39"/>
      <c r="M173" s="37"/>
      <c r="N173" s="60"/>
      <c r="O173" s="60"/>
      <c r="P173" s="40"/>
      <c r="R173" s="13"/>
      <c r="S173" s="13"/>
      <c r="T173" s="13"/>
    </row>
    <row r="174" spans="1:20" s="25" customFormat="1" x14ac:dyDescent="0.25">
      <c r="A174" s="37"/>
      <c r="B174" s="37"/>
      <c r="C174" s="37"/>
      <c r="D174" s="37"/>
      <c r="E174" s="38"/>
      <c r="F174" s="39"/>
      <c r="G174" s="37"/>
      <c r="H174" s="37"/>
      <c r="I174" s="38"/>
      <c r="J174" s="39"/>
      <c r="K174" s="38"/>
      <c r="L174" s="39"/>
      <c r="M174" s="37"/>
      <c r="N174" s="60"/>
      <c r="O174" s="60"/>
      <c r="P174" s="40"/>
      <c r="R174" s="13"/>
      <c r="S174" s="13"/>
      <c r="T174" s="13"/>
    </row>
    <row r="175" spans="1:20" s="25" customFormat="1" x14ac:dyDescent="0.25">
      <c r="A175" s="37"/>
      <c r="B175" s="37"/>
      <c r="C175" s="37"/>
      <c r="D175" s="37"/>
      <c r="E175" s="38"/>
      <c r="F175" s="39"/>
      <c r="G175" s="37"/>
      <c r="H175" s="37"/>
      <c r="I175" s="38"/>
      <c r="J175" s="39"/>
      <c r="K175" s="38"/>
      <c r="L175" s="39"/>
      <c r="M175" s="37"/>
      <c r="N175" s="60"/>
      <c r="O175" s="60"/>
      <c r="P175" s="40"/>
      <c r="R175" s="13"/>
      <c r="S175" s="13"/>
      <c r="T175" s="13"/>
    </row>
    <row r="176" spans="1:20" s="25" customFormat="1" x14ac:dyDescent="0.25">
      <c r="A176" s="37"/>
      <c r="B176" s="37"/>
      <c r="C176" s="37"/>
      <c r="D176" s="37"/>
      <c r="E176" s="38"/>
      <c r="F176" s="39"/>
      <c r="G176" s="37"/>
      <c r="H176" s="37"/>
      <c r="I176" s="38"/>
      <c r="J176" s="39"/>
      <c r="K176" s="38"/>
      <c r="L176" s="39"/>
      <c r="M176" s="37"/>
      <c r="N176" s="60"/>
      <c r="O176" s="60"/>
      <c r="P176" s="40"/>
      <c r="R176" s="13"/>
      <c r="S176" s="13"/>
      <c r="T176" s="13"/>
    </row>
    <row r="177" spans="1:20" s="25" customFormat="1" x14ac:dyDescent="0.25">
      <c r="A177" s="37"/>
      <c r="B177" s="37"/>
      <c r="C177" s="37"/>
      <c r="D177" s="37"/>
      <c r="E177" s="38"/>
      <c r="F177" s="39"/>
      <c r="G177" s="37"/>
      <c r="H177" s="37"/>
      <c r="I177" s="38"/>
      <c r="J177" s="39"/>
      <c r="K177" s="38"/>
      <c r="L177" s="39"/>
      <c r="M177" s="37"/>
      <c r="N177" s="60"/>
      <c r="O177" s="60"/>
      <c r="P177" s="40"/>
      <c r="R177" s="13"/>
      <c r="S177" s="13"/>
      <c r="T177" s="13"/>
    </row>
    <row r="178" spans="1:20" s="25" customFormat="1" x14ac:dyDescent="0.25">
      <c r="A178" s="37"/>
      <c r="B178" s="37"/>
      <c r="C178" s="37"/>
      <c r="D178" s="37"/>
      <c r="E178" s="38"/>
      <c r="F178" s="39"/>
      <c r="G178" s="37"/>
      <c r="H178" s="37"/>
      <c r="I178" s="38"/>
      <c r="J178" s="39"/>
      <c r="K178" s="38"/>
      <c r="L178" s="39"/>
      <c r="M178" s="37"/>
      <c r="N178" s="60"/>
      <c r="O178" s="60"/>
      <c r="P178" s="40"/>
      <c r="R178" s="13"/>
      <c r="S178" s="13"/>
      <c r="T178" s="13"/>
    </row>
    <row r="179" spans="1:20" s="25" customFormat="1" x14ac:dyDescent="0.25">
      <c r="A179" s="37"/>
      <c r="B179" s="37"/>
      <c r="C179" s="37"/>
      <c r="D179" s="37"/>
      <c r="E179" s="38"/>
      <c r="F179" s="39"/>
      <c r="G179" s="37"/>
      <c r="H179" s="37"/>
      <c r="I179" s="38"/>
      <c r="J179" s="39"/>
      <c r="K179" s="38"/>
      <c r="L179" s="39"/>
      <c r="M179" s="37"/>
      <c r="N179" s="60"/>
      <c r="O179" s="60"/>
      <c r="P179" s="40"/>
      <c r="R179" s="13"/>
      <c r="S179" s="13"/>
      <c r="T179" s="13"/>
    </row>
    <row r="180" spans="1:20" s="25" customFormat="1" x14ac:dyDescent="0.25">
      <c r="A180" s="37"/>
      <c r="B180" s="37"/>
      <c r="C180" s="37"/>
      <c r="D180" s="37"/>
      <c r="E180" s="38"/>
      <c r="F180" s="39"/>
      <c r="G180" s="37"/>
      <c r="H180" s="37"/>
      <c r="I180" s="38"/>
      <c r="J180" s="39"/>
      <c r="K180" s="38"/>
      <c r="L180" s="39"/>
      <c r="M180" s="37"/>
      <c r="N180" s="60"/>
      <c r="O180" s="60"/>
      <c r="P180" s="40"/>
      <c r="R180" s="13"/>
      <c r="S180" s="13"/>
      <c r="T180" s="13"/>
    </row>
    <row r="181" spans="1:20" s="25" customFormat="1" x14ac:dyDescent="0.25">
      <c r="A181" s="37"/>
      <c r="B181" s="37"/>
      <c r="C181" s="37"/>
      <c r="D181" s="37"/>
      <c r="E181" s="38"/>
      <c r="F181" s="39"/>
      <c r="G181" s="37"/>
      <c r="H181" s="37"/>
      <c r="I181" s="38"/>
      <c r="J181" s="39"/>
      <c r="K181" s="38"/>
      <c r="L181" s="39"/>
      <c r="M181" s="37"/>
      <c r="N181" s="60"/>
      <c r="O181" s="60"/>
      <c r="P181" s="40"/>
      <c r="R181" s="13"/>
      <c r="S181" s="13"/>
      <c r="T181" s="13"/>
    </row>
    <row r="182" spans="1:20" s="25" customFormat="1" x14ac:dyDescent="0.25">
      <c r="A182" s="37"/>
      <c r="B182" s="37"/>
      <c r="C182" s="37"/>
      <c r="D182" s="37"/>
      <c r="E182" s="38"/>
      <c r="F182" s="39"/>
      <c r="G182" s="37"/>
      <c r="H182" s="37"/>
      <c r="I182" s="38"/>
      <c r="J182" s="39"/>
      <c r="K182" s="38"/>
      <c r="L182" s="39"/>
      <c r="M182" s="37"/>
      <c r="N182" s="60"/>
      <c r="O182" s="60"/>
      <c r="P182" s="40"/>
      <c r="R182" s="13"/>
      <c r="S182" s="13"/>
      <c r="T182" s="13"/>
    </row>
    <row r="183" spans="1:20" s="25" customFormat="1" x14ac:dyDescent="0.25">
      <c r="A183" s="37"/>
      <c r="B183" s="37"/>
      <c r="C183" s="37"/>
      <c r="D183" s="37"/>
      <c r="E183" s="38"/>
      <c r="F183" s="39"/>
      <c r="G183" s="37"/>
      <c r="H183" s="37"/>
      <c r="I183" s="38"/>
      <c r="J183" s="39"/>
      <c r="K183" s="38"/>
      <c r="L183" s="39"/>
      <c r="M183" s="37"/>
      <c r="N183" s="60"/>
      <c r="O183" s="60"/>
      <c r="P183" s="40"/>
      <c r="R183" s="13"/>
      <c r="S183" s="13"/>
      <c r="T183" s="13"/>
    </row>
    <row r="184" spans="1:20" s="25" customFormat="1" x14ac:dyDescent="0.25">
      <c r="A184" s="37"/>
      <c r="B184" s="37"/>
      <c r="C184" s="37"/>
      <c r="D184" s="37"/>
      <c r="E184" s="38"/>
      <c r="F184" s="39"/>
      <c r="G184" s="37"/>
      <c r="H184" s="37"/>
      <c r="I184" s="38"/>
      <c r="J184" s="39"/>
      <c r="K184" s="38"/>
      <c r="L184" s="39"/>
      <c r="M184" s="37"/>
      <c r="N184" s="60"/>
      <c r="O184" s="60"/>
      <c r="P184" s="40"/>
      <c r="R184" s="13"/>
      <c r="S184" s="13"/>
      <c r="T184" s="13"/>
    </row>
    <row r="185" spans="1:20" s="25" customFormat="1" x14ac:dyDescent="0.25">
      <c r="A185" s="37"/>
      <c r="B185" s="37"/>
      <c r="C185" s="37"/>
      <c r="D185" s="37"/>
      <c r="E185" s="38"/>
      <c r="F185" s="39"/>
      <c r="G185" s="37"/>
      <c r="H185" s="37"/>
      <c r="I185" s="38"/>
      <c r="J185" s="39"/>
      <c r="K185" s="38"/>
      <c r="L185" s="39"/>
      <c r="M185" s="37"/>
      <c r="N185" s="60"/>
      <c r="O185" s="60"/>
      <c r="P185" s="40"/>
      <c r="R185" s="13"/>
      <c r="S185" s="13"/>
      <c r="T185" s="13"/>
    </row>
    <row r="186" spans="1:20" s="25" customFormat="1" x14ac:dyDescent="0.25">
      <c r="A186" s="37"/>
      <c r="B186" s="37"/>
      <c r="C186" s="37"/>
      <c r="D186" s="37"/>
      <c r="E186" s="38"/>
      <c r="F186" s="39"/>
      <c r="G186" s="37"/>
      <c r="H186" s="37"/>
      <c r="I186" s="38"/>
      <c r="J186" s="39"/>
      <c r="K186" s="38"/>
      <c r="L186" s="39"/>
      <c r="M186" s="37"/>
      <c r="N186" s="60"/>
      <c r="O186" s="60"/>
      <c r="P186" s="40"/>
      <c r="R186" s="13"/>
      <c r="S186" s="13"/>
      <c r="T186" s="13"/>
    </row>
    <row r="187" spans="1:20" s="25" customFormat="1" x14ac:dyDescent="0.25">
      <c r="A187" s="37"/>
      <c r="B187" s="37"/>
      <c r="C187" s="37"/>
      <c r="D187" s="37"/>
      <c r="E187" s="38"/>
      <c r="F187" s="39"/>
      <c r="G187" s="37"/>
      <c r="H187" s="37"/>
      <c r="I187" s="38"/>
      <c r="J187" s="39"/>
      <c r="K187" s="38"/>
      <c r="L187" s="39"/>
      <c r="M187" s="37"/>
      <c r="N187" s="60"/>
      <c r="O187" s="60"/>
      <c r="P187" s="40"/>
      <c r="R187" s="13"/>
      <c r="S187" s="13"/>
      <c r="T187" s="13"/>
    </row>
    <row r="188" spans="1:20" s="25" customFormat="1" x14ac:dyDescent="0.25">
      <c r="A188" s="37"/>
      <c r="B188" s="37"/>
      <c r="C188" s="37"/>
      <c r="D188" s="37"/>
      <c r="E188" s="38"/>
      <c r="F188" s="39"/>
      <c r="G188" s="37"/>
      <c r="H188" s="37"/>
      <c r="I188" s="38"/>
      <c r="J188" s="39"/>
      <c r="K188" s="38"/>
      <c r="L188" s="39"/>
      <c r="M188" s="37"/>
      <c r="N188" s="60"/>
      <c r="O188" s="60"/>
      <c r="P188" s="40"/>
      <c r="R188" s="13"/>
      <c r="S188" s="13"/>
      <c r="T188" s="13"/>
    </row>
    <row r="189" spans="1:20" s="25" customFormat="1" x14ac:dyDescent="0.25">
      <c r="A189" s="37"/>
      <c r="B189" s="37"/>
      <c r="C189" s="37"/>
      <c r="D189" s="37"/>
      <c r="E189" s="38"/>
      <c r="F189" s="39"/>
      <c r="G189" s="37"/>
      <c r="H189" s="37"/>
      <c r="I189" s="38"/>
      <c r="J189" s="39"/>
      <c r="K189" s="38"/>
      <c r="L189" s="39"/>
      <c r="M189" s="37"/>
      <c r="N189" s="60"/>
      <c r="O189" s="60"/>
      <c r="P189" s="40"/>
      <c r="R189" s="13"/>
      <c r="S189" s="13"/>
      <c r="T189" s="13"/>
    </row>
    <row r="190" spans="1:20" s="25" customFormat="1" x14ac:dyDescent="0.25">
      <c r="A190" s="37"/>
      <c r="B190" s="37"/>
      <c r="C190" s="37"/>
      <c r="D190" s="37"/>
      <c r="E190" s="38"/>
      <c r="F190" s="39"/>
      <c r="G190" s="37"/>
      <c r="H190" s="37"/>
      <c r="I190" s="38"/>
      <c r="J190" s="39"/>
      <c r="K190" s="38"/>
      <c r="L190" s="39"/>
      <c r="M190" s="37"/>
      <c r="N190" s="60"/>
      <c r="O190" s="60"/>
      <c r="P190" s="40"/>
      <c r="R190" s="13"/>
      <c r="S190" s="13"/>
      <c r="T190" s="13"/>
    </row>
    <row r="191" spans="1:20" s="25" customFormat="1" x14ac:dyDescent="0.25">
      <c r="A191" s="37"/>
      <c r="B191" s="37"/>
      <c r="C191" s="37"/>
      <c r="D191" s="37"/>
      <c r="E191" s="38"/>
      <c r="F191" s="39"/>
      <c r="G191" s="37"/>
      <c r="H191" s="37"/>
      <c r="I191" s="38"/>
      <c r="J191" s="39"/>
      <c r="K191" s="38"/>
      <c r="L191" s="39"/>
      <c r="M191" s="37"/>
      <c r="N191" s="60"/>
      <c r="O191" s="60"/>
      <c r="P191" s="40"/>
      <c r="R191" s="13"/>
      <c r="S191" s="13"/>
      <c r="T191" s="13"/>
    </row>
    <row r="192" spans="1:20" s="25" customFormat="1" x14ac:dyDescent="0.25">
      <c r="A192" s="37"/>
      <c r="B192" s="37"/>
      <c r="C192" s="37"/>
      <c r="D192" s="37"/>
      <c r="E192" s="38"/>
      <c r="F192" s="39"/>
      <c r="G192" s="37"/>
      <c r="H192" s="37"/>
      <c r="I192" s="38"/>
      <c r="J192" s="39"/>
      <c r="K192" s="38"/>
      <c r="L192" s="39"/>
      <c r="M192" s="37"/>
      <c r="N192" s="60"/>
      <c r="O192" s="60"/>
      <c r="P192" s="40"/>
      <c r="R192" s="13"/>
      <c r="S192" s="13"/>
      <c r="T192" s="13"/>
    </row>
    <row r="193" spans="1:20" s="25" customFormat="1" x14ac:dyDescent="0.25">
      <c r="A193" s="37"/>
      <c r="B193" s="37"/>
      <c r="C193" s="37"/>
      <c r="D193" s="37"/>
      <c r="E193" s="38"/>
      <c r="F193" s="39"/>
      <c r="G193" s="37"/>
      <c r="H193" s="37"/>
      <c r="I193" s="38"/>
      <c r="J193" s="39"/>
      <c r="K193" s="38"/>
      <c r="L193" s="39"/>
      <c r="M193" s="37"/>
      <c r="N193" s="60"/>
      <c r="O193" s="60"/>
      <c r="P193" s="40"/>
      <c r="R193" s="13"/>
      <c r="S193" s="13"/>
      <c r="T193" s="13"/>
    </row>
    <row r="194" spans="1:20" s="25" customFormat="1" x14ac:dyDescent="0.25">
      <c r="A194" s="37"/>
      <c r="B194" s="37"/>
      <c r="C194" s="37"/>
      <c r="D194" s="37"/>
      <c r="E194" s="38"/>
      <c r="F194" s="39"/>
      <c r="G194" s="37"/>
      <c r="H194" s="37"/>
      <c r="I194" s="38"/>
      <c r="J194" s="39"/>
      <c r="K194" s="38"/>
      <c r="L194" s="39"/>
      <c r="M194" s="37"/>
      <c r="N194" s="60"/>
      <c r="O194" s="60"/>
      <c r="P194" s="40"/>
      <c r="R194" s="13"/>
      <c r="S194" s="13"/>
      <c r="T194" s="13"/>
    </row>
    <row r="195" spans="1:20" s="25" customFormat="1" x14ac:dyDescent="0.25">
      <c r="A195" s="37"/>
      <c r="B195" s="37"/>
      <c r="C195" s="37"/>
      <c r="D195" s="37"/>
      <c r="E195" s="38"/>
      <c r="F195" s="39"/>
      <c r="G195" s="37"/>
      <c r="H195" s="37"/>
      <c r="I195" s="38"/>
      <c r="J195" s="39"/>
      <c r="K195" s="38"/>
      <c r="L195" s="39"/>
      <c r="M195" s="37"/>
      <c r="N195" s="60"/>
      <c r="O195" s="60"/>
      <c r="P195" s="40"/>
      <c r="R195" s="13"/>
      <c r="S195" s="13"/>
      <c r="T195" s="13"/>
    </row>
    <row r="196" spans="1:20" s="25" customFormat="1" x14ac:dyDescent="0.25">
      <c r="A196" s="37"/>
      <c r="B196" s="37"/>
      <c r="C196" s="37"/>
      <c r="D196" s="37"/>
      <c r="E196" s="38"/>
      <c r="F196" s="39"/>
      <c r="G196" s="37"/>
      <c r="H196" s="37"/>
      <c r="I196" s="38"/>
      <c r="J196" s="39"/>
      <c r="K196" s="38"/>
      <c r="L196" s="39"/>
      <c r="M196" s="37"/>
      <c r="N196" s="60"/>
      <c r="O196" s="60"/>
      <c r="P196" s="40"/>
      <c r="R196" s="13"/>
      <c r="S196" s="13"/>
      <c r="T196" s="13"/>
    </row>
    <row r="197" spans="1:20" s="25" customFormat="1" x14ac:dyDescent="0.25">
      <c r="A197" s="37"/>
      <c r="B197" s="37"/>
      <c r="C197" s="37"/>
      <c r="D197" s="37"/>
      <c r="E197" s="38"/>
      <c r="F197" s="39"/>
      <c r="G197" s="37"/>
      <c r="H197" s="37"/>
      <c r="I197" s="38"/>
      <c r="J197" s="39"/>
      <c r="K197" s="38"/>
      <c r="L197" s="39"/>
      <c r="M197" s="37"/>
      <c r="N197" s="60"/>
      <c r="O197" s="60"/>
      <c r="P197" s="40"/>
      <c r="R197" s="13"/>
      <c r="S197" s="13"/>
      <c r="T197" s="13"/>
    </row>
    <row r="198" spans="1:20" s="25" customFormat="1" x14ac:dyDescent="0.25">
      <c r="A198" s="37"/>
      <c r="B198" s="37"/>
      <c r="C198" s="37"/>
      <c r="D198" s="37"/>
      <c r="E198" s="38"/>
      <c r="F198" s="39"/>
      <c r="G198" s="37"/>
      <c r="H198" s="37"/>
      <c r="I198" s="38"/>
      <c r="J198" s="39"/>
      <c r="K198" s="38"/>
      <c r="L198" s="39"/>
      <c r="M198" s="37"/>
      <c r="N198" s="60"/>
      <c r="O198" s="60"/>
      <c r="P198" s="40"/>
      <c r="R198" s="13"/>
      <c r="S198" s="13"/>
      <c r="T198" s="13"/>
    </row>
    <row r="199" spans="1:20" s="25" customFormat="1" x14ac:dyDescent="0.25">
      <c r="A199" s="37"/>
      <c r="B199" s="37"/>
      <c r="C199" s="37"/>
      <c r="D199" s="37"/>
      <c r="E199" s="38"/>
      <c r="F199" s="39"/>
      <c r="G199" s="37"/>
      <c r="H199" s="37"/>
      <c r="I199" s="38"/>
      <c r="J199" s="39"/>
      <c r="K199" s="38"/>
      <c r="L199" s="39"/>
      <c r="M199" s="37"/>
      <c r="N199" s="60"/>
      <c r="O199" s="60"/>
      <c r="P199" s="40"/>
      <c r="R199" s="13"/>
      <c r="S199" s="13"/>
      <c r="T199" s="13"/>
    </row>
    <row r="200" spans="1:20" s="25" customFormat="1" x14ac:dyDescent="0.25">
      <c r="A200" s="37"/>
      <c r="B200" s="37"/>
      <c r="C200" s="37"/>
      <c r="D200" s="37"/>
      <c r="E200" s="38"/>
      <c r="F200" s="39"/>
      <c r="G200" s="37"/>
      <c r="H200" s="37"/>
      <c r="I200" s="38"/>
      <c r="J200" s="39"/>
      <c r="K200" s="38"/>
      <c r="L200" s="39"/>
      <c r="M200" s="37"/>
      <c r="N200" s="60"/>
      <c r="O200" s="60"/>
      <c r="P200" s="40"/>
      <c r="R200" s="13"/>
      <c r="S200" s="13"/>
      <c r="T200" s="13"/>
    </row>
    <row r="201" spans="1:20" s="25" customFormat="1" x14ac:dyDescent="0.25">
      <c r="A201" s="37"/>
      <c r="B201" s="37"/>
      <c r="C201" s="37"/>
      <c r="D201" s="37"/>
      <c r="E201" s="38"/>
      <c r="F201" s="39"/>
      <c r="G201" s="37"/>
      <c r="H201" s="37"/>
      <c r="I201" s="38"/>
      <c r="J201" s="39"/>
      <c r="K201" s="38"/>
      <c r="L201" s="39"/>
      <c r="M201" s="37"/>
      <c r="N201" s="60"/>
      <c r="O201" s="60"/>
      <c r="P201" s="40"/>
      <c r="R201" s="13"/>
      <c r="S201" s="13"/>
      <c r="T201" s="13"/>
    </row>
    <row r="202" spans="1:20" s="25" customFormat="1" x14ac:dyDescent="0.25">
      <c r="A202" s="37"/>
      <c r="B202" s="37"/>
      <c r="C202" s="37"/>
      <c r="D202" s="37"/>
      <c r="E202" s="38"/>
      <c r="F202" s="39"/>
      <c r="G202" s="37"/>
      <c r="H202" s="37"/>
      <c r="I202" s="38"/>
      <c r="J202" s="39"/>
      <c r="K202" s="38"/>
      <c r="L202" s="39"/>
      <c r="M202" s="37"/>
      <c r="N202" s="60"/>
      <c r="O202" s="60"/>
      <c r="P202" s="40"/>
      <c r="R202" s="13"/>
      <c r="S202" s="13"/>
      <c r="T202" s="13"/>
    </row>
    <row r="203" spans="1:20" s="25" customFormat="1" x14ac:dyDescent="0.25">
      <c r="A203" s="37"/>
      <c r="B203" s="37"/>
      <c r="C203" s="37"/>
      <c r="D203" s="37"/>
      <c r="E203" s="38"/>
      <c r="F203" s="39"/>
      <c r="G203" s="37"/>
      <c r="H203" s="37"/>
      <c r="I203" s="38"/>
      <c r="J203" s="39"/>
      <c r="K203" s="38"/>
      <c r="L203" s="39"/>
      <c r="M203" s="37"/>
      <c r="N203" s="60"/>
      <c r="O203" s="60"/>
      <c r="P203" s="40"/>
      <c r="R203" s="13"/>
      <c r="S203" s="13"/>
      <c r="T203" s="13"/>
    </row>
    <row r="204" spans="1:20" s="25" customFormat="1" x14ac:dyDescent="0.25">
      <c r="A204" s="37"/>
      <c r="B204" s="37"/>
      <c r="C204" s="37"/>
      <c r="D204" s="37"/>
      <c r="E204" s="38"/>
      <c r="F204" s="39"/>
      <c r="G204" s="37"/>
      <c r="H204" s="37"/>
      <c r="I204" s="38"/>
      <c r="J204" s="39"/>
      <c r="K204" s="38"/>
      <c r="L204" s="39"/>
      <c r="M204" s="37"/>
      <c r="N204" s="60"/>
      <c r="O204" s="60"/>
      <c r="P204" s="40"/>
      <c r="R204" s="13"/>
      <c r="S204" s="13"/>
      <c r="T204" s="13"/>
    </row>
    <row r="205" spans="1:20" s="25" customFormat="1" x14ac:dyDescent="0.25">
      <c r="A205" s="37"/>
      <c r="B205" s="37"/>
      <c r="C205" s="37"/>
      <c r="D205" s="37"/>
      <c r="E205" s="38"/>
      <c r="F205" s="39"/>
      <c r="G205" s="37"/>
      <c r="H205" s="37"/>
      <c r="I205" s="38"/>
      <c r="J205" s="39"/>
      <c r="K205" s="38"/>
      <c r="L205" s="39"/>
      <c r="M205" s="37"/>
      <c r="N205" s="60"/>
      <c r="O205" s="60"/>
      <c r="P205" s="40"/>
      <c r="R205" s="13"/>
      <c r="S205" s="13"/>
      <c r="T205" s="13"/>
    </row>
    <row r="206" spans="1:20" s="25" customFormat="1" x14ac:dyDescent="0.25">
      <c r="A206" s="37"/>
      <c r="B206" s="37"/>
      <c r="C206" s="37"/>
      <c r="D206" s="37"/>
      <c r="E206" s="38"/>
      <c r="F206" s="39"/>
      <c r="G206" s="37"/>
      <c r="H206" s="37"/>
      <c r="I206" s="38"/>
      <c r="J206" s="39"/>
      <c r="K206" s="38"/>
      <c r="L206" s="39"/>
      <c r="M206" s="37"/>
      <c r="N206" s="60"/>
      <c r="O206" s="60"/>
      <c r="P206" s="40"/>
      <c r="R206" s="13"/>
      <c r="S206" s="13"/>
      <c r="T206" s="13"/>
    </row>
    <row r="207" spans="1:20" s="25" customFormat="1" x14ac:dyDescent="0.25">
      <c r="A207" s="37"/>
      <c r="B207" s="37"/>
      <c r="C207" s="37"/>
      <c r="D207" s="37"/>
      <c r="E207" s="38"/>
      <c r="F207" s="39"/>
      <c r="G207" s="37"/>
      <c r="H207" s="37"/>
      <c r="I207" s="38"/>
      <c r="J207" s="39"/>
      <c r="K207" s="38"/>
      <c r="L207" s="39"/>
      <c r="M207" s="37"/>
      <c r="N207" s="60"/>
      <c r="O207" s="60"/>
      <c r="P207" s="40"/>
      <c r="R207" s="13"/>
      <c r="S207" s="13"/>
      <c r="T207" s="13"/>
    </row>
    <row r="208" spans="1:20" s="25" customFormat="1" x14ac:dyDescent="0.25">
      <c r="A208" s="37"/>
      <c r="B208" s="37"/>
      <c r="C208" s="37"/>
      <c r="D208" s="37"/>
      <c r="E208" s="38"/>
      <c r="F208" s="39"/>
      <c r="G208" s="37"/>
      <c r="H208" s="37"/>
      <c r="I208" s="38"/>
      <c r="J208" s="39"/>
      <c r="K208" s="38"/>
      <c r="L208" s="39"/>
      <c r="M208" s="37"/>
      <c r="N208" s="60"/>
      <c r="O208" s="60"/>
      <c r="P208" s="40"/>
      <c r="R208" s="13"/>
      <c r="S208" s="13"/>
      <c r="T208" s="13"/>
    </row>
    <row r="209" spans="1:20" s="25" customFormat="1" x14ac:dyDescent="0.25">
      <c r="A209" s="37"/>
      <c r="B209" s="37"/>
      <c r="C209" s="37"/>
      <c r="D209" s="37"/>
      <c r="E209" s="38"/>
      <c r="F209" s="39"/>
      <c r="G209" s="37"/>
      <c r="H209" s="37"/>
      <c r="I209" s="38"/>
      <c r="J209" s="39"/>
      <c r="K209" s="38"/>
      <c r="L209" s="39"/>
      <c r="M209" s="37"/>
      <c r="N209" s="60"/>
      <c r="O209" s="60"/>
      <c r="P209" s="40"/>
      <c r="R209" s="13"/>
      <c r="S209" s="13"/>
      <c r="T209" s="13"/>
    </row>
    <row r="210" spans="1:20" s="25" customFormat="1" x14ac:dyDescent="0.25">
      <c r="A210" s="37"/>
      <c r="B210" s="37"/>
      <c r="C210" s="37"/>
      <c r="D210" s="37"/>
      <c r="E210" s="38"/>
      <c r="F210" s="39"/>
      <c r="G210" s="37"/>
      <c r="H210" s="37"/>
      <c r="I210" s="38"/>
      <c r="J210" s="39"/>
      <c r="K210" s="38"/>
      <c r="L210" s="39"/>
      <c r="M210" s="37"/>
      <c r="N210" s="60"/>
      <c r="O210" s="60"/>
      <c r="P210" s="40"/>
      <c r="R210" s="13"/>
      <c r="S210" s="13"/>
      <c r="T210" s="13"/>
    </row>
    <row r="211" spans="1:20" s="25" customFormat="1" x14ac:dyDescent="0.25">
      <c r="A211" s="37"/>
      <c r="B211" s="37"/>
      <c r="C211" s="37"/>
      <c r="D211" s="37"/>
      <c r="E211" s="38"/>
      <c r="F211" s="39"/>
      <c r="G211" s="37"/>
      <c r="H211" s="37"/>
      <c r="I211" s="38"/>
      <c r="J211" s="39"/>
      <c r="K211" s="38"/>
      <c r="L211" s="39"/>
      <c r="M211" s="37"/>
      <c r="N211" s="60"/>
      <c r="O211" s="60"/>
      <c r="P211" s="40"/>
      <c r="R211" s="13"/>
      <c r="S211" s="13"/>
      <c r="T211" s="13"/>
    </row>
    <row r="212" spans="1:20" s="25" customFormat="1" x14ac:dyDescent="0.25">
      <c r="A212" s="37"/>
      <c r="B212" s="37"/>
      <c r="C212" s="37"/>
      <c r="D212" s="37"/>
      <c r="E212" s="38"/>
      <c r="F212" s="39"/>
      <c r="G212" s="37"/>
      <c r="H212" s="37"/>
      <c r="I212" s="38"/>
      <c r="J212" s="39"/>
      <c r="K212" s="38"/>
      <c r="L212" s="39"/>
      <c r="M212" s="37"/>
      <c r="N212" s="60"/>
      <c r="O212" s="60"/>
      <c r="P212" s="40"/>
      <c r="R212" s="13"/>
      <c r="S212" s="13"/>
      <c r="T212" s="13"/>
    </row>
    <row r="213" spans="1:20" s="25" customFormat="1" x14ac:dyDescent="0.25">
      <c r="A213" s="37"/>
      <c r="B213" s="37"/>
      <c r="C213" s="37"/>
      <c r="D213" s="37"/>
      <c r="E213" s="38"/>
      <c r="F213" s="39"/>
      <c r="G213" s="37"/>
      <c r="H213" s="37"/>
      <c r="I213" s="38"/>
      <c r="J213" s="39"/>
      <c r="K213" s="38"/>
      <c r="L213" s="39"/>
      <c r="M213" s="37"/>
      <c r="N213" s="60"/>
      <c r="O213" s="60"/>
      <c r="P213" s="40"/>
      <c r="R213" s="13"/>
      <c r="S213" s="13"/>
      <c r="T213" s="13"/>
    </row>
    <row r="214" spans="1:20" s="25" customFormat="1" x14ac:dyDescent="0.25">
      <c r="A214" s="37"/>
      <c r="B214" s="37"/>
      <c r="C214" s="37"/>
      <c r="D214" s="37"/>
      <c r="E214" s="38"/>
      <c r="F214" s="39"/>
      <c r="G214" s="37"/>
      <c r="H214" s="37"/>
      <c r="I214" s="38"/>
      <c r="J214" s="39"/>
      <c r="K214" s="38"/>
      <c r="L214" s="39"/>
      <c r="M214" s="37"/>
      <c r="N214" s="60"/>
      <c r="O214" s="60"/>
      <c r="P214" s="40"/>
      <c r="R214" s="13"/>
      <c r="S214" s="13"/>
      <c r="T214" s="13"/>
    </row>
    <row r="215" spans="1:20" s="25" customFormat="1" x14ac:dyDescent="0.25">
      <c r="A215" s="37"/>
      <c r="B215" s="37"/>
      <c r="C215" s="37"/>
      <c r="D215" s="37"/>
      <c r="E215" s="38"/>
      <c r="F215" s="39"/>
      <c r="G215" s="37"/>
      <c r="H215" s="37"/>
      <c r="I215" s="38"/>
      <c r="J215" s="39"/>
      <c r="K215" s="38"/>
      <c r="L215" s="39"/>
      <c r="M215" s="37"/>
      <c r="N215" s="60"/>
      <c r="O215" s="60"/>
      <c r="P215" s="40"/>
      <c r="R215" s="13"/>
      <c r="S215" s="13"/>
      <c r="T215" s="13"/>
    </row>
    <row r="216" spans="1:20" s="25" customFormat="1" x14ac:dyDescent="0.25">
      <c r="A216" s="37"/>
      <c r="B216" s="37"/>
      <c r="C216" s="37"/>
      <c r="D216" s="37"/>
      <c r="E216" s="38"/>
      <c r="F216" s="39"/>
      <c r="G216" s="37"/>
      <c r="H216" s="37"/>
      <c r="I216" s="38"/>
      <c r="J216" s="39"/>
      <c r="K216" s="38"/>
      <c r="L216" s="39"/>
      <c r="M216" s="37"/>
      <c r="N216" s="60"/>
      <c r="O216" s="60"/>
      <c r="P216" s="40"/>
      <c r="R216" s="13"/>
      <c r="S216" s="13"/>
      <c r="T216" s="13"/>
    </row>
    <row r="217" spans="1:20" s="25" customFormat="1" x14ac:dyDescent="0.25">
      <c r="A217" s="37"/>
      <c r="B217" s="37"/>
      <c r="C217" s="37"/>
      <c r="D217" s="37"/>
      <c r="E217" s="38"/>
      <c r="F217" s="39"/>
      <c r="G217" s="37"/>
      <c r="H217" s="37"/>
      <c r="I217" s="38"/>
      <c r="J217" s="39"/>
      <c r="K217" s="38"/>
      <c r="L217" s="39"/>
      <c r="M217" s="37"/>
      <c r="N217" s="60"/>
      <c r="O217" s="60"/>
      <c r="P217" s="40"/>
      <c r="R217" s="13"/>
      <c r="S217" s="13"/>
      <c r="T217" s="13"/>
    </row>
    <row r="218" spans="1:20" s="25" customFormat="1" x14ac:dyDescent="0.25">
      <c r="A218" s="37"/>
      <c r="B218" s="37"/>
      <c r="C218" s="37"/>
      <c r="D218" s="37"/>
      <c r="E218" s="38"/>
      <c r="F218" s="39"/>
      <c r="G218" s="37"/>
      <c r="H218" s="37"/>
      <c r="I218" s="38"/>
      <c r="J218" s="39"/>
      <c r="K218" s="38"/>
      <c r="L218" s="39"/>
      <c r="M218" s="37"/>
      <c r="N218" s="60"/>
      <c r="O218" s="60"/>
      <c r="P218" s="40"/>
      <c r="R218" s="13"/>
      <c r="S218" s="13"/>
      <c r="T218" s="13"/>
    </row>
    <row r="219" spans="1:20" s="25" customFormat="1" x14ac:dyDescent="0.25">
      <c r="A219" s="37"/>
      <c r="B219" s="37"/>
      <c r="C219" s="37"/>
      <c r="D219" s="37"/>
      <c r="E219" s="38"/>
      <c r="F219" s="39"/>
      <c r="G219" s="37"/>
      <c r="H219" s="37"/>
      <c r="I219" s="38"/>
      <c r="J219" s="39"/>
      <c r="K219" s="38"/>
      <c r="L219" s="39"/>
      <c r="M219" s="37"/>
      <c r="N219" s="60"/>
      <c r="O219" s="60"/>
      <c r="P219" s="40"/>
      <c r="R219" s="13"/>
      <c r="S219" s="13"/>
      <c r="T219" s="13"/>
    </row>
    <row r="220" spans="1:20" s="25" customFormat="1" x14ac:dyDescent="0.25">
      <c r="A220" s="37"/>
      <c r="B220" s="37"/>
      <c r="C220" s="37"/>
      <c r="D220" s="37"/>
      <c r="E220" s="38"/>
      <c r="F220" s="39"/>
      <c r="G220" s="37"/>
      <c r="H220" s="37"/>
      <c r="I220" s="38"/>
      <c r="J220" s="39"/>
      <c r="K220" s="38"/>
      <c r="L220" s="39"/>
      <c r="M220" s="37"/>
      <c r="N220" s="60"/>
      <c r="O220" s="60"/>
      <c r="P220" s="40"/>
      <c r="R220" s="13"/>
      <c r="S220" s="13"/>
      <c r="T220" s="13"/>
    </row>
    <row r="221" spans="1:20" s="25" customFormat="1" x14ac:dyDescent="0.25">
      <c r="A221" s="37"/>
      <c r="B221" s="37"/>
      <c r="C221" s="37"/>
      <c r="D221" s="37"/>
      <c r="E221" s="38"/>
      <c r="F221" s="39"/>
      <c r="G221" s="37"/>
      <c r="H221" s="37"/>
      <c r="I221" s="38"/>
      <c r="J221" s="39"/>
      <c r="K221" s="38"/>
      <c r="L221" s="39"/>
      <c r="M221" s="37"/>
      <c r="N221" s="60"/>
      <c r="O221" s="60"/>
      <c r="P221" s="40"/>
      <c r="R221" s="13"/>
      <c r="S221" s="13"/>
      <c r="T221" s="13"/>
    </row>
    <row r="222" spans="1:20" s="25" customFormat="1" x14ac:dyDescent="0.25">
      <c r="A222" s="37"/>
      <c r="B222" s="37"/>
      <c r="C222" s="37"/>
      <c r="D222" s="37"/>
      <c r="E222" s="38"/>
      <c r="F222" s="39"/>
      <c r="G222" s="37"/>
      <c r="H222" s="37"/>
      <c r="I222" s="38"/>
      <c r="J222" s="39"/>
      <c r="K222" s="38"/>
      <c r="L222" s="39"/>
      <c r="M222" s="37"/>
      <c r="N222" s="60"/>
      <c r="O222" s="60"/>
      <c r="P222" s="40"/>
      <c r="R222" s="13"/>
      <c r="S222" s="13"/>
      <c r="T222" s="13"/>
    </row>
    <row r="223" spans="1:20" s="25" customFormat="1" x14ac:dyDescent="0.25">
      <c r="A223" s="37"/>
      <c r="B223" s="37"/>
      <c r="C223" s="37"/>
      <c r="D223" s="37"/>
      <c r="E223" s="38"/>
      <c r="F223" s="39"/>
      <c r="G223" s="37"/>
      <c r="H223" s="37"/>
      <c r="I223" s="38"/>
      <c r="J223" s="39"/>
      <c r="K223" s="38"/>
      <c r="L223" s="39"/>
      <c r="M223" s="37"/>
      <c r="N223" s="60"/>
      <c r="O223" s="60"/>
      <c r="P223" s="40"/>
      <c r="R223" s="13"/>
      <c r="S223" s="13"/>
      <c r="T223" s="13"/>
    </row>
    <row r="224" spans="1:20" s="25" customFormat="1" x14ac:dyDescent="0.25">
      <c r="A224" s="37"/>
      <c r="B224" s="37"/>
      <c r="C224" s="37"/>
      <c r="D224" s="37"/>
      <c r="E224" s="38"/>
      <c r="F224" s="39"/>
      <c r="G224" s="37"/>
      <c r="H224" s="37"/>
      <c r="I224" s="38"/>
      <c r="J224" s="39"/>
      <c r="K224" s="38"/>
      <c r="L224" s="39"/>
      <c r="M224" s="37"/>
      <c r="N224" s="60"/>
      <c r="O224" s="60"/>
      <c r="P224" s="40"/>
      <c r="R224" s="13"/>
      <c r="S224" s="13"/>
      <c r="T224" s="13"/>
    </row>
    <row r="225" spans="1:20" s="25" customFormat="1" x14ac:dyDescent="0.25">
      <c r="A225" s="37"/>
      <c r="B225" s="37"/>
      <c r="C225" s="37"/>
      <c r="D225" s="37"/>
      <c r="E225" s="38"/>
      <c r="F225" s="39"/>
      <c r="G225" s="37"/>
      <c r="H225" s="37"/>
      <c r="I225" s="38"/>
      <c r="J225" s="39"/>
      <c r="K225" s="38"/>
      <c r="L225" s="39"/>
      <c r="M225" s="37"/>
      <c r="N225" s="60"/>
      <c r="O225" s="60"/>
      <c r="P225" s="40"/>
      <c r="R225" s="13"/>
      <c r="S225" s="13"/>
      <c r="T225" s="13"/>
    </row>
    <row r="226" spans="1:20" s="25" customFormat="1" x14ac:dyDescent="0.25">
      <c r="A226" s="37"/>
      <c r="B226" s="37"/>
      <c r="C226" s="37"/>
      <c r="D226" s="37"/>
      <c r="E226" s="38"/>
      <c r="F226" s="39"/>
      <c r="G226" s="37"/>
      <c r="H226" s="37"/>
      <c r="I226" s="38"/>
      <c r="J226" s="39"/>
      <c r="K226" s="38"/>
      <c r="L226" s="39"/>
      <c r="M226" s="37"/>
      <c r="N226" s="60"/>
      <c r="O226" s="60"/>
      <c r="P226" s="40"/>
      <c r="R226" s="13"/>
      <c r="S226" s="13"/>
      <c r="T226" s="13"/>
    </row>
    <row r="227" spans="1:20" s="25" customFormat="1" x14ac:dyDescent="0.25">
      <c r="A227" s="37"/>
      <c r="B227" s="37"/>
      <c r="C227" s="37"/>
      <c r="D227" s="37"/>
      <c r="E227" s="38"/>
      <c r="F227" s="39"/>
      <c r="G227" s="37"/>
      <c r="H227" s="37"/>
      <c r="I227" s="38"/>
      <c r="J227" s="39"/>
      <c r="K227" s="38"/>
      <c r="L227" s="39"/>
      <c r="M227" s="37"/>
      <c r="N227" s="60"/>
      <c r="O227" s="60"/>
      <c r="P227" s="40"/>
      <c r="R227" s="13"/>
      <c r="S227" s="13"/>
      <c r="T227" s="13"/>
    </row>
    <row r="228" spans="1:20" s="25" customFormat="1" x14ac:dyDescent="0.25">
      <c r="A228" s="37"/>
      <c r="B228" s="37"/>
      <c r="C228" s="37"/>
      <c r="D228" s="37"/>
      <c r="E228" s="38"/>
      <c r="F228" s="39"/>
      <c r="G228" s="37"/>
      <c r="H228" s="37"/>
      <c r="I228" s="38"/>
      <c r="J228" s="39"/>
      <c r="K228" s="38"/>
      <c r="L228" s="39"/>
      <c r="M228" s="37"/>
      <c r="N228" s="60"/>
      <c r="O228" s="60"/>
      <c r="P228" s="40"/>
      <c r="R228" s="13"/>
      <c r="S228" s="13"/>
      <c r="T228" s="13"/>
    </row>
    <row r="229" spans="1:20" s="25" customFormat="1" x14ac:dyDescent="0.25">
      <c r="A229" s="37"/>
      <c r="B229" s="37"/>
      <c r="C229" s="37"/>
      <c r="D229" s="37"/>
      <c r="E229" s="38"/>
      <c r="F229" s="39"/>
      <c r="G229" s="37"/>
      <c r="H229" s="37"/>
      <c r="I229" s="38"/>
      <c r="J229" s="39"/>
      <c r="K229" s="38"/>
      <c r="L229" s="39"/>
      <c r="M229" s="37"/>
      <c r="N229" s="60"/>
      <c r="O229" s="60"/>
      <c r="P229" s="40"/>
      <c r="R229" s="13"/>
      <c r="S229" s="13"/>
      <c r="T229" s="13"/>
    </row>
    <row r="230" spans="1:20" s="25" customFormat="1" x14ac:dyDescent="0.25">
      <c r="A230" s="37"/>
      <c r="B230" s="37"/>
      <c r="C230" s="37"/>
      <c r="D230" s="37"/>
      <c r="E230" s="38"/>
      <c r="F230" s="39"/>
      <c r="G230" s="37"/>
      <c r="H230" s="37"/>
      <c r="I230" s="38"/>
      <c r="J230" s="39"/>
      <c r="K230" s="38"/>
      <c r="L230" s="39"/>
      <c r="M230" s="37"/>
      <c r="N230" s="60"/>
      <c r="O230" s="60"/>
      <c r="P230" s="40"/>
      <c r="R230" s="13"/>
      <c r="S230" s="13"/>
      <c r="T230" s="13"/>
    </row>
    <row r="231" spans="1:20" s="25" customFormat="1" x14ac:dyDescent="0.25">
      <c r="A231" s="37"/>
      <c r="B231" s="37"/>
      <c r="C231" s="37"/>
      <c r="D231" s="37"/>
      <c r="E231" s="38"/>
      <c r="F231" s="39"/>
      <c r="G231" s="37"/>
      <c r="H231" s="37"/>
      <c r="I231" s="38"/>
      <c r="J231" s="39"/>
      <c r="K231" s="38"/>
      <c r="L231" s="39"/>
      <c r="M231" s="37"/>
      <c r="N231" s="60"/>
      <c r="O231" s="60"/>
      <c r="P231" s="40"/>
      <c r="R231" s="13"/>
      <c r="S231" s="13"/>
      <c r="T231" s="13"/>
    </row>
    <row r="232" spans="1:20" s="25" customFormat="1" x14ac:dyDescent="0.25">
      <c r="A232" s="37"/>
      <c r="B232" s="37"/>
      <c r="C232" s="37"/>
      <c r="D232" s="37"/>
      <c r="E232" s="38"/>
      <c r="F232" s="39"/>
      <c r="G232" s="37"/>
      <c r="H232" s="37"/>
      <c r="I232" s="38"/>
      <c r="J232" s="39"/>
      <c r="K232" s="38"/>
      <c r="L232" s="39"/>
      <c r="M232" s="37"/>
      <c r="N232" s="60"/>
      <c r="O232" s="60"/>
      <c r="P232" s="40"/>
      <c r="R232" s="13"/>
      <c r="S232" s="13"/>
      <c r="T232" s="13"/>
    </row>
    <row r="233" spans="1:20" s="25" customFormat="1" x14ac:dyDescent="0.25">
      <c r="A233" s="37"/>
      <c r="B233" s="37"/>
      <c r="C233" s="37"/>
      <c r="D233" s="37"/>
      <c r="E233" s="38"/>
      <c r="F233" s="39"/>
      <c r="G233" s="37"/>
      <c r="H233" s="37"/>
      <c r="I233" s="38"/>
      <c r="J233" s="39"/>
      <c r="K233" s="38"/>
      <c r="L233" s="39"/>
      <c r="M233" s="37"/>
      <c r="N233" s="60"/>
      <c r="O233" s="60"/>
      <c r="P233" s="40"/>
      <c r="R233" s="13"/>
      <c r="S233" s="13"/>
      <c r="T233" s="13"/>
    </row>
    <row r="234" spans="1:20" s="25" customFormat="1" x14ac:dyDescent="0.25">
      <c r="A234" s="37"/>
      <c r="B234" s="37"/>
      <c r="C234" s="37"/>
      <c r="D234" s="37"/>
      <c r="E234" s="38"/>
      <c r="F234" s="39"/>
      <c r="G234" s="37"/>
      <c r="H234" s="37"/>
      <c r="I234" s="38"/>
      <c r="J234" s="39"/>
      <c r="K234" s="38"/>
      <c r="L234" s="39"/>
      <c r="M234" s="37"/>
      <c r="N234" s="60"/>
      <c r="O234" s="60"/>
      <c r="P234" s="40"/>
      <c r="R234" s="13"/>
      <c r="S234" s="13"/>
      <c r="T234" s="13"/>
    </row>
    <row r="235" spans="1:20" s="25" customFormat="1" x14ac:dyDescent="0.25">
      <c r="A235" s="37"/>
      <c r="B235" s="37"/>
      <c r="C235" s="37"/>
      <c r="D235" s="37"/>
      <c r="E235" s="38"/>
      <c r="F235" s="39"/>
      <c r="G235" s="37"/>
      <c r="H235" s="37"/>
      <c r="I235" s="38"/>
      <c r="J235" s="39"/>
      <c r="K235" s="38"/>
      <c r="L235" s="39"/>
      <c r="M235" s="37"/>
      <c r="N235" s="60"/>
      <c r="O235" s="60"/>
      <c r="P235" s="40"/>
      <c r="R235" s="13"/>
      <c r="S235" s="13"/>
      <c r="T235" s="13"/>
    </row>
    <row r="236" spans="1:20" s="25" customFormat="1" x14ac:dyDescent="0.25">
      <c r="A236" s="37"/>
      <c r="B236" s="37"/>
      <c r="C236" s="37"/>
      <c r="D236" s="37"/>
      <c r="E236" s="38"/>
      <c r="F236" s="39"/>
      <c r="G236" s="37"/>
      <c r="H236" s="37"/>
      <c r="I236" s="38"/>
      <c r="J236" s="39"/>
      <c r="K236" s="38"/>
      <c r="L236" s="39"/>
      <c r="M236" s="37"/>
      <c r="N236" s="60"/>
      <c r="O236" s="60"/>
      <c r="P236" s="40"/>
      <c r="R236" s="13"/>
      <c r="S236" s="13"/>
      <c r="T236" s="13"/>
    </row>
    <row r="237" spans="1:20" s="25" customFormat="1" x14ac:dyDescent="0.25">
      <c r="A237" s="37"/>
      <c r="B237" s="37"/>
      <c r="C237" s="37"/>
      <c r="D237" s="37"/>
      <c r="E237" s="38"/>
      <c r="F237" s="39"/>
      <c r="G237" s="37"/>
      <c r="H237" s="37"/>
      <c r="I237" s="38"/>
      <c r="J237" s="39"/>
      <c r="K237" s="38"/>
      <c r="L237" s="39"/>
      <c r="M237" s="37"/>
      <c r="N237" s="60"/>
      <c r="O237" s="60"/>
      <c r="P237" s="40"/>
      <c r="R237" s="13"/>
      <c r="S237" s="13"/>
      <c r="T237" s="13"/>
    </row>
    <row r="238" spans="1:20" s="25" customFormat="1" x14ac:dyDescent="0.25">
      <c r="A238" s="37"/>
      <c r="B238" s="37"/>
      <c r="C238" s="37"/>
      <c r="D238" s="37"/>
      <c r="E238" s="38"/>
      <c r="F238" s="39"/>
      <c r="G238" s="37"/>
      <c r="H238" s="37"/>
      <c r="I238" s="38"/>
      <c r="J238" s="39"/>
      <c r="K238" s="38"/>
      <c r="L238" s="39"/>
      <c r="M238" s="37"/>
      <c r="N238" s="60"/>
      <c r="O238" s="60"/>
      <c r="P238" s="40"/>
      <c r="R238" s="13"/>
      <c r="S238" s="13"/>
      <c r="T238" s="13"/>
    </row>
    <row r="239" spans="1:20" s="25" customFormat="1" x14ac:dyDescent="0.25">
      <c r="A239" s="37"/>
      <c r="B239" s="37"/>
      <c r="C239" s="37"/>
      <c r="D239" s="37"/>
      <c r="E239" s="38"/>
      <c r="F239" s="39"/>
      <c r="G239" s="37"/>
      <c r="H239" s="37"/>
      <c r="I239" s="38"/>
      <c r="J239" s="39"/>
      <c r="K239" s="38"/>
      <c r="L239" s="39"/>
      <c r="M239" s="37"/>
      <c r="N239" s="60"/>
      <c r="O239" s="60"/>
      <c r="P239" s="40"/>
      <c r="R239" s="13"/>
      <c r="S239" s="13"/>
      <c r="T239" s="13"/>
    </row>
    <row r="240" spans="1:20" s="25" customFormat="1" x14ac:dyDescent="0.25">
      <c r="A240" s="37"/>
      <c r="B240" s="37"/>
      <c r="C240" s="37"/>
      <c r="D240" s="37"/>
      <c r="E240" s="38"/>
      <c r="F240" s="39"/>
      <c r="G240" s="37"/>
      <c r="H240" s="37"/>
      <c r="I240" s="38"/>
      <c r="J240" s="39"/>
      <c r="K240" s="38"/>
      <c r="L240" s="39"/>
      <c r="M240" s="37"/>
      <c r="N240" s="60"/>
      <c r="O240" s="60"/>
      <c r="P240" s="40"/>
      <c r="R240" s="13"/>
      <c r="S240" s="13"/>
      <c r="T240" s="13"/>
    </row>
    <row r="241" spans="1:20" s="25" customFormat="1" x14ac:dyDescent="0.25">
      <c r="A241" s="37"/>
      <c r="B241" s="37"/>
      <c r="C241" s="37"/>
      <c r="D241" s="37"/>
      <c r="E241" s="38"/>
      <c r="F241" s="39"/>
      <c r="G241" s="37"/>
      <c r="H241" s="37"/>
      <c r="I241" s="38"/>
      <c r="J241" s="39"/>
      <c r="K241" s="38"/>
      <c r="L241" s="39"/>
      <c r="M241" s="37"/>
      <c r="N241" s="60"/>
      <c r="O241" s="60"/>
      <c r="P241" s="40"/>
      <c r="R241" s="13"/>
      <c r="S241" s="13"/>
      <c r="T241" s="13"/>
    </row>
    <row r="242" spans="1:20" s="25" customFormat="1" x14ac:dyDescent="0.25">
      <c r="A242" s="37"/>
      <c r="B242" s="37"/>
      <c r="C242" s="37"/>
      <c r="D242" s="37"/>
      <c r="E242" s="38"/>
      <c r="F242" s="39"/>
      <c r="G242" s="37"/>
      <c r="H242" s="37"/>
      <c r="I242" s="38"/>
      <c r="J242" s="39"/>
      <c r="K242" s="38"/>
      <c r="L242" s="39"/>
      <c r="M242" s="37"/>
      <c r="N242" s="60"/>
      <c r="O242" s="60"/>
      <c r="P242" s="40"/>
      <c r="R242" s="13"/>
      <c r="S242" s="13"/>
      <c r="T242" s="13"/>
    </row>
    <row r="243" spans="1:20" s="25" customFormat="1" x14ac:dyDescent="0.25">
      <c r="A243" s="37"/>
      <c r="B243" s="37"/>
      <c r="C243" s="37"/>
      <c r="D243" s="37"/>
      <c r="E243" s="38"/>
      <c r="F243" s="39"/>
      <c r="G243" s="37"/>
      <c r="H243" s="37"/>
      <c r="I243" s="38"/>
      <c r="J243" s="39"/>
      <c r="K243" s="38"/>
      <c r="L243" s="39"/>
      <c r="M243" s="37"/>
      <c r="N243" s="60"/>
      <c r="O243" s="60"/>
      <c r="P243" s="40"/>
      <c r="R243" s="13"/>
      <c r="S243" s="13"/>
      <c r="T243" s="13"/>
    </row>
    <row r="244" spans="1:20" s="25" customFormat="1" x14ac:dyDescent="0.25">
      <c r="A244" s="37"/>
      <c r="B244" s="37"/>
      <c r="C244" s="37"/>
      <c r="D244" s="37"/>
      <c r="E244" s="38"/>
      <c r="F244" s="39"/>
      <c r="G244" s="37"/>
      <c r="H244" s="37"/>
      <c r="I244" s="38"/>
      <c r="J244" s="39"/>
      <c r="K244" s="38"/>
      <c r="L244" s="39"/>
      <c r="M244" s="37"/>
      <c r="N244" s="60"/>
      <c r="O244" s="60"/>
      <c r="P244" s="40"/>
      <c r="R244" s="13"/>
      <c r="S244" s="13"/>
      <c r="T244" s="13"/>
    </row>
    <row r="245" spans="1:20" s="25" customFormat="1" x14ac:dyDescent="0.25">
      <c r="A245" s="37"/>
      <c r="B245" s="37"/>
      <c r="C245" s="37"/>
      <c r="D245" s="37"/>
      <c r="E245" s="38"/>
      <c r="F245" s="39"/>
      <c r="G245" s="37"/>
      <c r="H245" s="37"/>
      <c r="I245" s="38"/>
      <c r="J245" s="39"/>
      <c r="K245" s="38"/>
      <c r="L245" s="39"/>
      <c r="M245" s="37"/>
      <c r="N245" s="60"/>
      <c r="O245" s="60"/>
      <c r="P245" s="40"/>
      <c r="R245" s="13"/>
      <c r="S245" s="13"/>
      <c r="T245" s="13"/>
    </row>
    <row r="246" spans="1:20" s="25" customFormat="1" x14ac:dyDescent="0.25">
      <c r="A246" s="37"/>
      <c r="B246" s="37"/>
      <c r="C246" s="37"/>
      <c r="D246" s="37"/>
      <c r="E246" s="38"/>
      <c r="F246" s="39"/>
      <c r="G246" s="37"/>
      <c r="H246" s="37"/>
      <c r="I246" s="38"/>
      <c r="J246" s="39"/>
      <c r="K246" s="38"/>
      <c r="L246" s="39"/>
      <c r="M246" s="37"/>
      <c r="N246" s="60"/>
      <c r="O246" s="60"/>
      <c r="P246" s="40"/>
      <c r="R246" s="13"/>
      <c r="S246" s="13"/>
      <c r="T246" s="13"/>
    </row>
    <row r="247" spans="1:20" s="25" customFormat="1" x14ac:dyDescent="0.25">
      <c r="A247" s="37"/>
      <c r="B247" s="37"/>
      <c r="C247" s="37"/>
      <c r="D247" s="37"/>
      <c r="E247" s="38"/>
      <c r="F247" s="39"/>
      <c r="G247" s="37"/>
      <c r="H247" s="37"/>
      <c r="I247" s="38"/>
      <c r="J247" s="39"/>
      <c r="K247" s="38"/>
      <c r="L247" s="39"/>
      <c r="M247" s="37"/>
      <c r="N247" s="60"/>
      <c r="O247" s="60"/>
      <c r="P247" s="40"/>
      <c r="R247" s="13"/>
      <c r="S247" s="13"/>
      <c r="T247" s="13"/>
    </row>
    <row r="248" spans="1:20" s="25" customFormat="1" x14ac:dyDescent="0.25">
      <c r="A248" s="37"/>
      <c r="B248" s="37"/>
      <c r="C248" s="37"/>
      <c r="D248" s="37"/>
      <c r="E248" s="38"/>
      <c r="F248" s="39"/>
      <c r="G248" s="37"/>
      <c r="H248" s="37"/>
      <c r="I248" s="38"/>
      <c r="J248" s="39"/>
      <c r="K248" s="38"/>
      <c r="L248" s="39"/>
      <c r="M248" s="37"/>
      <c r="N248" s="60"/>
      <c r="O248" s="60"/>
      <c r="P248" s="40"/>
      <c r="R248" s="13"/>
      <c r="S248" s="13"/>
      <c r="T248" s="13"/>
    </row>
    <row r="249" spans="1:20" s="25" customFormat="1" x14ac:dyDescent="0.25">
      <c r="A249" s="37"/>
      <c r="B249" s="37"/>
      <c r="C249" s="37"/>
      <c r="D249" s="37"/>
      <c r="E249" s="38"/>
      <c r="F249" s="39"/>
      <c r="G249" s="37"/>
      <c r="H249" s="37"/>
      <c r="I249" s="38"/>
      <c r="J249" s="39"/>
      <c r="K249" s="38"/>
      <c r="L249" s="39"/>
      <c r="M249" s="37"/>
      <c r="N249" s="60"/>
      <c r="O249" s="60"/>
      <c r="P249" s="40"/>
      <c r="R249" s="13"/>
      <c r="S249" s="13"/>
      <c r="T249" s="13"/>
    </row>
    <row r="250" spans="1:20" s="25" customFormat="1" x14ac:dyDescent="0.25">
      <c r="A250" s="37"/>
      <c r="B250" s="37"/>
      <c r="C250" s="37"/>
      <c r="D250" s="37"/>
      <c r="E250" s="38"/>
      <c r="F250" s="39"/>
      <c r="G250" s="37"/>
      <c r="H250" s="37"/>
      <c r="I250" s="38"/>
      <c r="J250" s="39"/>
      <c r="K250" s="38"/>
      <c r="L250" s="39"/>
      <c r="M250" s="37"/>
      <c r="N250" s="60"/>
      <c r="O250" s="60"/>
      <c r="P250" s="40"/>
      <c r="R250" s="13"/>
      <c r="S250" s="13"/>
      <c r="T250" s="13"/>
    </row>
    <row r="251" spans="1:20" s="25" customFormat="1" x14ac:dyDescent="0.25">
      <c r="A251" s="37"/>
      <c r="B251" s="37"/>
      <c r="C251" s="37"/>
      <c r="D251" s="37"/>
      <c r="E251" s="38"/>
      <c r="F251" s="39"/>
      <c r="G251" s="37"/>
      <c r="H251" s="37"/>
      <c r="I251" s="38"/>
      <c r="J251" s="39"/>
      <c r="K251" s="38"/>
      <c r="L251" s="39"/>
      <c r="M251" s="37"/>
      <c r="N251" s="60"/>
      <c r="O251" s="60"/>
      <c r="P251" s="40"/>
      <c r="R251" s="13"/>
      <c r="S251" s="13"/>
      <c r="T251" s="13"/>
    </row>
    <row r="252" spans="1:20" s="25" customFormat="1" x14ac:dyDescent="0.25">
      <c r="A252" s="37"/>
      <c r="B252" s="37"/>
      <c r="C252" s="37"/>
      <c r="D252" s="37"/>
      <c r="E252" s="38"/>
      <c r="F252" s="39"/>
      <c r="G252" s="37"/>
      <c r="H252" s="37"/>
      <c r="I252" s="38"/>
      <c r="J252" s="39"/>
      <c r="K252" s="38"/>
      <c r="L252" s="39"/>
      <c r="M252" s="37"/>
      <c r="N252" s="60"/>
      <c r="O252" s="60"/>
      <c r="P252" s="40"/>
      <c r="R252" s="13"/>
      <c r="S252" s="13"/>
      <c r="T252" s="13"/>
    </row>
    <row r="253" spans="1:20" s="25" customFormat="1" x14ac:dyDescent="0.25">
      <c r="A253" s="37"/>
      <c r="B253" s="37"/>
      <c r="C253" s="37"/>
      <c r="D253" s="37"/>
      <c r="E253" s="38"/>
      <c r="F253" s="39"/>
      <c r="G253" s="37"/>
      <c r="H253" s="37"/>
      <c r="I253" s="38"/>
      <c r="J253" s="39"/>
      <c r="K253" s="38"/>
      <c r="L253" s="39"/>
      <c r="M253" s="37"/>
      <c r="N253" s="60"/>
      <c r="O253" s="60"/>
      <c r="P253" s="40"/>
      <c r="R253" s="13"/>
      <c r="S253" s="13"/>
      <c r="T253" s="13"/>
    </row>
    <row r="254" spans="1:20" s="25" customFormat="1" x14ac:dyDescent="0.25">
      <c r="A254" s="37"/>
      <c r="B254" s="37"/>
      <c r="C254" s="37"/>
      <c r="D254" s="37"/>
      <c r="E254" s="38"/>
      <c r="F254" s="39"/>
      <c r="G254" s="37"/>
      <c r="H254" s="37"/>
      <c r="I254" s="38"/>
      <c r="J254" s="39"/>
      <c r="K254" s="38"/>
      <c r="L254" s="39"/>
      <c r="M254" s="37"/>
      <c r="N254" s="60"/>
      <c r="O254" s="60"/>
      <c r="P254" s="40"/>
      <c r="R254" s="13"/>
      <c r="S254" s="13"/>
      <c r="T254" s="13"/>
    </row>
    <row r="255" spans="1:20" s="25" customFormat="1" x14ac:dyDescent="0.25">
      <c r="A255" s="37"/>
      <c r="B255" s="37"/>
      <c r="C255" s="37"/>
      <c r="D255" s="37"/>
      <c r="E255" s="38"/>
      <c r="F255" s="39"/>
      <c r="G255" s="37"/>
      <c r="H255" s="37"/>
      <c r="I255" s="38"/>
      <c r="J255" s="39"/>
      <c r="K255" s="38"/>
      <c r="L255" s="39"/>
      <c r="M255" s="37"/>
      <c r="N255" s="60"/>
      <c r="O255" s="60"/>
      <c r="P255" s="40"/>
      <c r="R255" s="13"/>
      <c r="S255" s="13"/>
      <c r="T255" s="13"/>
    </row>
    <row r="256" spans="1:20" s="25" customFormat="1" x14ac:dyDescent="0.25">
      <c r="A256" s="37"/>
      <c r="B256" s="37"/>
      <c r="C256" s="37"/>
      <c r="D256" s="37"/>
      <c r="E256" s="38"/>
      <c r="F256" s="39"/>
      <c r="G256" s="37"/>
      <c r="H256" s="37"/>
      <c r="I256" s="38"/>
      <c r="J256" s="39"/>
      <c r="K256" s="38"/>
      <c r="L256" s="39"/>
      <c r="M256" s="37"/>
      <c r="N256" s="60"/>
      <c r="O256" s="60"/>
      <c r="P256" s="40"/>
      <c r="R256" s="13"/>
      <c r="S256" s="13"/>
      <c r="T256" s="13"/>
    </row>
    <row r="257" spans="1:20" s="25" customFormat="1" x14ac:dyDescent="0.25">
      <c r="A257" s="37"/>
      <c r="B257" s="37"/>
      <c r="C257" s="37"/>
      <c r="D257" s="37"/>
      <c r="E257" s="38"/>
      <c r="F257" s="39"/>
      <c r="G257" s="37"/>
      <c r="H257" s="37"/>
      <c r="I257" s="38"/>
      <c r="J257" s="39"/>
      <c r="K257" s="38"/>
      <c r="L257" s="39"/>
      <c r="M257" s="37"/>
      <c r="N257" s="60"/>
      <c r="O257" s="60"/>
      <c r="P257" s="40"/>
      <c r="R257" s="13"/>
      <c r="S257" s="13"/>
      <c r="T257" s="13"/>
    </row>
    <row r="258" spans="1:20" s="25" customFormat="1" x14ac:dyDescent="0.25">
      <c r="A258" s="37"/>
      <c r="B258" s="37"/>
      <c r="C258" s="37"/>
      <c r="D258" s="37"/>
      <c r="E258" s="38"/>
      <c r="F258" s="39"/>
      <c r="G258" s="37"/>
      <c r="H258" s="37"/>
      <c r="I258" s="38"/>
      <c r="J258" s="39"/>
      <c r="K258" s="38"/>
      <c r="L258" s="39"/>
      <c r="M258" s="37"/>
      <c r="N258" s="60"/>
      <c r="O258" s="60"/>
      <c r="P258" s="40"/>
      <c r="R258" s="13"/>
      <c r="S258" s="13"/>
      <c r="T258" s="13"/>
    </row>
    <row r="259" spans="1:20" s="25" customFormat="1" x14ac:dyDescent="0.25">
      <c r="A259" s="37"/>
      <c r="B259" s="37"/>
      <c r="C259" s="37"/>
      <c r="D259" s="37"/>
      <c r="E259" s="38"/>
      <c r="F259" s="39"/>
      <c r="G259" s="37"/>
      <c r="H259" s="37"/>
      <c r="I259" s="38"/>
      <c r="J259" s="39"/>
      <c r="K259" s="38"/>
      <c r="L259" s="39"/>
      <c r="M259" s="37"/>
      <c r="N259" s="60"/>
      <c r="O259" s="60"/>
      <c r="P259" s="40"/>
      <c r="R259" s="13"/>
      <c r="S259" s="13"/>
      <c r="T259" s="13"/>
    </row>
    <row r="260" spans="1:20" s="25" customFormat="1" x14ac:dyDescent="0.25">
      <c r="A260" s="37"/>
      <c r="B260" s="37"/>
      <c r="C260" s="37"/>
      <c r="D260" s="37"/>
      <c r="E260" s="38"/>
      <c r="F260" s="39"/>
      <c r="G260" s="37"/>
      <c r="H260" s="37"/>
      <c r="I260" s="38"/>
      <c r="J260" s="39"/>
      <c r="K260" s="38"/>
      <c r="L260" s="39"/>
      <c r="M260" s="37"/>
      <c r="N260" s="60"/>
      <c r="O260" s="60"/>
      <c r="P260" s="40"/>
      <c r="R260" s="13"/>
      <c r="S260" s="13"/>
      <c r="T260" s="13"/>
    </row>
    <row r="261" spans="1:20" s="25" customFormat="1" x14ac:dyDescent="0.25">
      <c r="A261" s="37"/>
      <c r="B261" s="37"/>
      <c r="C261" s="37"/>
      <c r="D261" s="37"/>
      <c r="E261" s="38"/>
      <c r="F261" s="39"/>
      <c r="G261" s="37"/>
      <c r="H261" s="37"/>
      <c r="I261" s="38"/>
      <c r="J261" s="39"/>
      <c r="K261" s="38"/>
      <c r="L261" s="39"/>
      <c r="M261" s="37"/>
      <c r="N261" s="60"/>
      <c r="O261" s="60"/>
      <c r="P261" s="40"/>
      <c r="R261" s="13"/>
      <c r="S261" s="13"/>
      <c r="T261" s="13"/>
    </row>
    <row r="262" spans="1:20" s="25" customFormat="1" x14ac:dyDescent="0.25">
      <c r="A262" s="37"/>
      <c r="B262" s="37"/>
      <c r="C262" s="37"/>
      <c r="D262" s="37"/>
      <c r="E262" s="38"/>
      <c r="F262" s="39"/>
      <c r="G262" s="37"/>
      <c r="H262" s="37"/>
      <c r="I262" s="38"/>
      <c r="J262" s="39"/>
      <c r="K262" s="38"/>
      <c r="L262" s="39"/>
      <c r="M262" s="37"/>
      <c r="N262" s="60"/>
      <c r="O262" s="60"/>
      <c r="P262" s="40"/>
      <c r="R262" s="13"/>
      <c r="S262" s="13"/>
      <c r="T262" s="13"/>
    </row>
    <row r="263" spans="1:20" s="25" customFormat="1" x14ac:dyDescent="0.25">
      <c r="A263" s="37"/>
      <c r="B263" s="37"/>
      <c r="C263" s="37"/>
      <c r="D263" s="37"/>
      <c r="E263" s="38"/>
      <c r="F263" s="39"/>
      <c r="G263" s="37"/>
      <c r="H263" s="37"/>
      <c r="I263" s="38"/>
      <c r="J263" s="39"/>
      <c r="K263" s="38"/>
      <c r="L263" s="39"/>
      <c r="M263" s="37"/>
      <c r="N263" s="60"/>
      <c r="O263" s="60"/>
      <c r="P263" s="40"/>
      <c r="R263" s="13"/>
      <c r="S263" s="13"/>
      <c r="T263" s="13"/>
    </row>
    <row r="264" spans="1:20" s="25" customFormat="1" x14ac:dyDescent="0.25">
      <c r="A264" s="37"/>
      <c r="B264" s="37"/>
      <c r="C264" s="37"/>
      <c r="D264" s="37"/>
      <c r="E264" s="38"/>
      <c r="F264" s="39"/>
      <c r="G264" s="37"/>
      <c r="H264" s="37"/>
      <c r="I264" s="38"/>
      <c r="J264" s="39"/>
      <c r="K264" s="38"/>
      <c r="L264" s="39"/>
      <c r="M264" s="37"/>
      <c r="N264" s="60"/>
      <c r="O264" s="60"/>
      <c r="P264" s="40"/>
      <c r="R264" s="13"/>
      <c r="S264" s="13"/>
      <c r="T264" s="13"/>
    </row>
    <row r="265" spans="1:20" s="25" customFormat="1" x14ac:dyDescent="0.25">
      <c r="A265" s="37"/>
      <c r="B265" s="37"/>
      <c r="C265" s="37"/>
      <c r="D265" s="37"/>
      <c r="E265" s="38"/>
      <c r="F265" s="39"/>
      <c r="G265" s="37"/>
      <c r="H265" s="37"/>
      <c r="I265" s="38"/>
      <c r="J265" s="39"/>
      <c r="K265" s="38"/>
      <c r="L265" s="39"/>
      <c r="M265" s="37"/>
      <c r="N265" s="60"/>
      <c r="O265" s="60"/>
      <c r="P265" s="40"/>
      <c r="R265" s="13"/>
      <c r="S265" s="13"/>
      <c r="T265" s="13"/>
    </row>
    <row r="266" spans="1:20" s="25" customFormat="1" x14ac:dyDescent="0.25">
      <c r="A266" s="37"/>
      <c r="B266" s="37"/>
      <c r="C266" s="37"/>
      <c r="D266" s="37"/>
      <c r="E266" s="38"/>
      <c r="F266" s="39"/>
      <c r="G266" s="37"/>
      <c r="H266" s="37"/>
      <c r="I266" s="38"/>
      <c r="J266" s="39"/>
      <c r="K266" s="38"/>
      <c r="L266" s="39"/>
      <c r="M266" s="37"/>
      <c r="N266" s="60"/>
      <c r="O266" s="60"/>
      <c r="P266" s="40"/>
      <c r="R266" s="13"/>
      <c r="S266" s="13"/>
      <c r="T266" s="13"/>
    </row>
    <row r="267" spans="1:20" s="25" customFormat="1" x14ac:dyDescent="0.25">
      <c r="A267" s="37"/>
      <c r="B267" s="37"/>
      <c r="C267" s="37"/>
      <c r="D267" s="37"/>
      <c r="E267" s="38"/>
      <c r="F267" s="39"/>
      <c r="G267" s="37"/>
      <c r="H267" s="37"/>
      <c r="I267" s="38"/>
      <c r="J267" s="39"/>
      <c r="K267" s="38"/>
      <c r="L267" s="39"/>
      <c r="M267" s="37"/>
      <c r="N267" s="60"/>
      <c r="O267" s="60"/>
      <c r="P267" s="40"/>
      <c r="R267" s="13"/>
      <c r="S267" s="13"/>
      <c r="T267" s="13"/>
    </row>
    <row r="268" spans="1:20" s="25" customFormat="1" x14ac:dyDescent="0.25">
      <c r="A268" s="37"/>
      <c r="B268" s="37"/>
      <c r="C268" s="37"/>
      <c r="D268" s="37"/>
      <c r="E268" s="38"/>
      <c r="F268" s="39"/>
      <c r="G268" s="37"/>
      <c r="H268" s="37"/>
      <c r="I268" s="38"/>
      <c r="J268" s="39"/>
      <c r="K268" s="38"/>
      <c r="L268" s="39"/>
      <c r="M268" s="37"/>
      <c r="N268" s="60"/>
      <c r="O268" s="60"/>
      <c r="P268" s="40"/>
      <c r="R268" s="13"/>
      <c r="S268" s="13"/>
      <c r="T268" s="13"/>
    </row>
    <row r="269" spans="1:20" s="25" customFormat="1" x14ac:dyDescent="0.25">
      <c r="A269" s="37"/>
      <c r="B269" s="37"/>
      <c r="C269" s="37"/>
      <c r="D269" s="37"/>
      <c r="E269" s="38"/>
      <c r="F269" s="39"/>
      <c r="G269" s="37"/>
      <c r="H269" s="37"/>
      <c r="I269" s="38"/>
      <c r="J269" s="39"/>
      <c r="K269" s="38"/>
      <c r="L269" s="39"/>
      <c r="M269" s="37"/>
      <c r="N269" s="60"/>
      <c r="O269" s="60"/>
      <c r="P269" s="40"/>
      <c r="R269" s="13"/>
      <c r="S269" s="13"/>
      <c r="T269" s="13"/>
    </row>
    <row r="270" spans="1:20" s="25" customFormat="1" x14ac:dyDescent="0.25">
      <c r="A270" s="37"/>
      <c r="B270" s="37"/>
      <c r="C270" s="37"/>
      <c r="D270" s="37"/>
      <c r="E270" s="38"/>
      <c r="F270" s="39"/>
      <c r="G270" s="37"/>
      <c r="H270" s="37"/>
      <c r="I270" s="38"/>
      <c r="J270" s="39"/>
      <c r="K270" s="38"/>
      <c r="L270" s="39"/>
      <c r="M270" s="37"/>
      <c r="N270" s="60"/>
      <c r="O270" s="60"/>
      <c r="P270" s="40"/>
      <c r="R270" s="13"/>
      <c r="S270" s="13"/>
      <c r="T270" s="13"/>
    </row>
    <row r="271" spans="1:20" s="25" customFormat="1" x14ac:dyDescent="0.25">
      <c r="A271" s="37"/>
      <c r="B271" s="37"/>
      <c r="C271" s="37"/>
      <c r="D271" s="37"/>
      <c r="E271" s="38"/>
      <c r="F271" s="39"/>
      <c r="G271" s="37"/>
      <c r="H271" s="37"/>
      <c r="I271" s="38"/>
      <c r="J271" s="39"/>
      <c r="K271" s="38"/>
      <c r="L271" s="39"/>
      <c r="M271" s="37"/>
      <c r="N271" s="60"/>
      <c r="O271" s="60"/>
      <c r="P271" s="40"/>
      <c r="R271" s="13"/>
      <c r="S271" s="13"/>
      <c r="T271" s="13"/>
    </row>
    <row r="272" spans="1:20" s="25" customFormat="1" x14ac:dyDescent="0.25">
      <c r="A272" s="37"/>
      <c r="B272" s="37"/>
      <c r="C272" s="37"/>
      <c r="D272" s="37"/>
      <c r="E272" s="38"/>
      <c r="F272" s="39"/>
      <c r="G272" s="37"/>
      <c r="H272" s="37"/>
      <c r="I272" s="38"/>
      <c r="J272" s="39"/>
      <c r="K272" s="38"/>
      <c r="L272" s="39"/>
      <c r="M272" s="37"/>
      <c r="N272" s="60"/>
      <c r="O272" s="60"/>
      <c r="P272" s="40"/>
      <c r="R272" s="13"/>
      <c r="S272" s="13"/>
      <c r="T272" s="13"/>
    </row>
    <row r="273" spans="1:20" s="25" customFormat="1" x14ac:dyDescent="0.25">
      <c r="A273" s="37"/>
      <c r="B273" s="37"/>
      <c r="C273" s="37"/>
      <c r="D273" s="37"/>
      <c r="E273" s="38"/>
      <c r="F273" s="39"/>
      <c r="G273" s="37"/>
      <c r="H273" s="37"/>
      <c r="I273" s="38"/>
      <c r="J273" s="39"/>
      <c r="K273" s="38"/>
      <c r="L273" s="39"/>
      <c r="M273" s="37"/>
      <c r="N273" s="60"/>
      <c r="O273" s="60"/>
      <c r="P273" s="40"/>
      <c r="R273" s="13"/>
      <c r="S273" s="13"/>
      <c r="T273" s="13"/>
    </row>
    <row r="274" spans="1:20" s="25" customFormat="1" x14ac:dyDescent="0.25">
      <c r="A274" s="37"/>
      <c r="B274" s="37"/>
      <c r="C274" s="37"/>
      <c r="D274" s="37"/>
      <c r="E274" s="38"/>
      <c r="F274" s="39"/>
      <c r="G274" s="37"/>
      <c r="H274" s="37"/>
      <c r="I274" s="38"/>
      <c r="J274" s="39"/>
      <c r="K274" s="38"/>
      <c r="L274" s="39"/>
      <c r="M274" s="37"/>
      <c r="N274" s="60"/>
      <c r="O274" s="60"/>
      <c r="P274" s="40"/>
      <c r="R274" s="13"/>
      <c r="S274" s="13"/>
      <c r="T274" s="13"/>
    </row>
    <row r="275" spans="1:20" s="25" customFormat="1" x14ac:dyDescent="0.25">
      <c r="A275" s="37"/>
      <c r="B275" s="37"/>
      <c r="C275" s="37"/>
      <c r="D275" s="37"/>
      <c r="E275" s="38"/>
      <c r="F275" s="39"/>
      <c r="G275" s="37"/>
      <c r="H275" s="37"/>
      <c r="I275" s="38"/>
      <c r="J275" s="39"/>
      <c r="K275" s="38"/>
      <c r="L275" s="39"/>
      <c r="M275" s="37"/>
      <c r="N275" s="60"/>
      <c r="O275" s="60"/>
      <c r="P275" s="40"/>
      <c r="R275" s="13"/>
      <c r="S275" s="13"/>
      <c r="T275" s="13"/>
    </row>
    <row r="276" spans="1:20" s="25" customFormat="1" x14ac:dyDescent="0.25">
      <c r="A276" s="37"/>
      <c r="B276" s="37"/>
      <c r="C276" s="37"/>
      <c r="D276" s="37"/>
      <c r="E276" s="38"/>
      <c r="F276" s="39"/>
      <c r="G276" s="37"/>
      <c r="H276" s="37"/>
      <c r="I276" s="38"/>
      <c r="J276" s="39"/>
      <c r="K276" s="38"/>
      <c r="L276" s="39"/>
      <c r="M276" s="37"/>
      <c r="N276" s="60"/>
      <c r="O276" s="60"/>
      <c r="P276" s="40"/>
      <c r="R276" s="13"/>
      <c r="S276" s="13"/>
      <c r="T276" s="13"/>
    </row>
    <row r="277" spans="1:20" s="25" customFormat="1" x14ac:dyDescent="0.25">
      <c r="A277" s="37"/>
      <c r="B277" s="37"/>
      <c r="C277" s="37"/>
      <c r="D277" s="37"/>
      <c r="E277" s="38"/>
      <c r="F277" s="39"/>
      <c r="G277" s="37"/>
      <c r="H277" s="37"/>
      <c r="I277" s="38"/>
      <c r="J277" s="39"/>
      <c r="K277" s="38"/>
      <c r="L277" s="39"/>
      <c r="M277" s="37"/>
      <c r="N277" s="60"/>
      <c r="O277" s="60"/>
      <c r="P277" s="40"/>
      <c r="R277" s="13"/>
      <c r="S277" s="13"/>
      <c r="T277" s="13"/>
    </row>
    <row r="278" spans="1:20" s="25" customFormat="1" x14ac:dyDescent="0.25">
      <c r="A278" s="37"/>
      <c r="B278" s="37"/>
      <c r="C278" s="37"/>
      <c r="D278" s="37"/>
      <c r="E278" s="38"/>
      <c r="F278" s="39"/>
      <c r="G278" s="37"/>
      <c r="H278" s="37"/>
      <c r="I278" s="38"/>
      <c r="J278" s="39"/>
      <c r="K278" s="38"/>
      <c r="L278" s="39"/>
      <c r="M278" s="37"/>
      <c r="N278" s="60"/>
      <c r="O278" s="60"/>
      <c r="P278" s="40"/>
      <c r="R278" s="13"/>
      <c r="S278" s="13"/>
      <c r="T278" s="13"/>
    </row>
    <row r="279" spans="1:20" s="25" customFormat="1" x14ac:dyDescent="0.25">
      <c r="A279" s="37"/>
      <c r="B279" s="37"/>
      <c r="C279" s="37"/>
      <c r="D279" s="37"/>
      <c r="E279" s="38"/>
      <c r="F279" s="39"/>
      <c r="G279" s="37"/>
      <c r="H279" s="37"/>
      <c r="I279" s="38"/>
      <c r="J279" s="39"/>
      <c r="K279" s="38"/>
      <c r="L279" s="39"/>
      <c r="M279" s="37"/>
      <c r="N279" s="60"/>
      <c r="O279" s="60"/>
      <c r="P279" s="40"/>
      <c r="R279" s="13"/>
      <c r="S279" s="13"/>
      <c r="T279" s="13"/>
    </row>
    <row r="280" spans="1:20" s="25" customFormat="1" x14ac:dyDescent="0.25">
      <c r="A280" s="37"/>
      <c r="B280" s="37"/>
      <c r="C280" s="37"/>
      <c r="D280" s="37"/>
      <c r="E280" s="38"/>
      <c r="F280" s="39"/>
      <c r="G280" s="37"/>
      <c r="H280" s="37"/>
      <c r="I280" s="38"/>
      <c r="J280" s="39"/>
      <c r="K280" s="38"/>
      <c r="L280" s="39"/>
      <c r="M280" s="37"/>
      <c r="N280" s="60"/>
      <c r="O280" s="60"/>
      <c r="P280" s="40"/>
      <c r="R280" s="13"/>
      <c r="S280" s="13"/>
      <c r="T280" s="13"/>
    </row>
    <row r="281" spans="1:20" s="25" customFormat="1" x14ac:dyDescent="0.25">
      <c r="A281" s="37"/>
      <c r="B281" s="37"/>
      <c r="C281" s="37"/>
      <c r="D281" s="37"/>
      <c r="E281" s="38"/>
      <c r="F281" s="39"/>
      <c r="G281" s="37"/>
      <c r="H281" s="37"/>
      <c r="I281" s="38"/>
      <c r="J281" s="39"/>
      <c r="K281" s="38"/>
      <c r="L281" s="39"/>
      <c r="M281" s="37"/>
      <c r="N281" s="60"/>
      <c r="O281" s="60"/>
      <c r="P281" s="40"/>
      <c r="R281" s="13"/>
      <c r="S281" s="13"/>
      <c r="T281" s="13"/>
    </row>
    <row r="282" spans="1:20" s="25" customFormat="1" x14ac:dyDescent="0.25">
      <c r="A282" s="37"/>
      <c r="B282" s="37"/>
      <c r="C282" s="37"/>
      <c r="D282" s="37"/>
      <c r="E282" s="38"/>
      <c r="F282" s="39"/>
      <c r="G282" s="37"/>
      <c r="H282" s="37"/>
      <c r="I282" s="38"/>
      <c r="J282" s="39"/>
      <c r="K282" s="38"/>
      <c r="L282" s="39"/>
      <c r="M282" s="37"/>
      <c r="N282" s="60"/>
      <c r="O282" s="60"/>
      <c r="P282" s="40"/>
      <c r="R282" s="13"/>
      <c r="S282" s="13"/>
      <c r="T282" s="13"/>
    </row>
    <row r="283" spans="1:20" s="25" customFormat="1" x14ac:dyDescent="0.25">
      <c r="A283" s="37"/>
      <c r="B283" s="37"/>
      <c r="C283" s="37"/>
      <c r="D283" s="37"/>
      <c r="E283" s="38"/>
      <c r="F283" s="39"/>
      <c r="G283" s="37"/>
      <c r="H283" s="37"/>
      <c r="I283" s="38"/>
      <c r="J283" s="39"/>
      <c r="K283" s="38"/>
      <c r="L283" s="39"/>
      <c r="M283" s="37"/>
      <c r="N283" s="60"/>
      <c r="O283" s="60"/>
      <c r="P283" s="40"/>
      <c r="R283" s="13"/>
      <c r="S283" s="13"/>
      <c r="T283" s="13"/>
    </row>
    <row r="284" spans="1:20" s="25" customFormat="1" x14ac:dyDescent="0.25">
      <c r="A284" s="37"/>
      <c r="B284" s="37"/>
      <c r="C284" s="37"/>
      <c r="D284" s="37"/>
      <c r="E284" s="38"/>
      <c r="F284" s="39"/>
      <c r="G284" s="37"/>
      <c r="H284" s="37"/>
      <c r="I284" s="38"/>
      <c r="J284" s="39"/>
      <c r="K284" s="38"/>
      <c r="L284" s="39"/>
      <c r="M284" s="37"/>
      <c r="N284" s="60"/>
      <c r="O284" s="60"/>
      <c r="P284" s="40"/>
      <c r="R284" s="13"/>
      <c r="S284" s="13"/>
      <c r="T284" s="13"/>
    </row>
    <row r="285" spans="1:20" s="25" customFormat="1" x14ac:dyDescent="0.25">
      <c r="A285" s="37"/>
      <c r="B285" s="37"/>
      <c r="C285" s="37"/>
      <c r="D285" s="37"/>
      <c r="E285" s="38"/>
      <c r="F285" s="39"/>
      <c r="G285" s="37"/>
      <c r="H285" s="37"/>
      <c r="I285" s="38"/>
      <c r="J285" s="39"/>
      <c r="K285" s="38"/>
      <c r="L285" s="39"/>
      <c r="M285" s="37"/>
      <c r="N285" s="60"/>
      <c r="O285" s="60"/>
      <c r="P285" s="40"/>
      <c r="R285" s="13"/>
      <c r="S285" s="13"/>
      <c r="T285" s="13"/>
    </row>
    <row r="286" spans="1:20" s="25" customFormat="1" x14ac:dyDescent="0.25">
      <c r="A286" s="37"/>
      <c r="B286" s="37"/>
      <c r="C286" s="37"/>
      <c r="D286" s="37"/>
      <c r="E286" s="38"/>
      <c r="F286" s="39"/>
      <c r="G286" s="37"/>
      <c r="H286" s="37"/>
      <c r="I286" s="38"/>
      <c r="J286" s="39"/>
      <c r="K286" s="38"/>
      <c r="L286" s="39"/>
      <c r="M286" s="37"/>
      <c r="N286" s="60"/>
      <c r="O286" s="60"/>
      <c r="P286" s="40"/>
      <c r="R286" s="13"/>
      <c r="S286" s="13"/>
      <c r="T286" s="13"/>
    </row>
    <row r="287" spans="1:20" s="25" customFormat="1" x14ac:dyDescent="0.25">
      <c r="A287" s="37"/>
      <c r="B287" s="37"/>
      <c r="C287" s="37"/>
      <c r="D287" s="37"/>
      <c r="E287" s="38"/>
      <c r="F287" s="39"/>
      <c r="G287" s="37"/>
      <c r="H287" s="37"/>
      <c r="I287" s="38"/>
      <c r="J287" s="39"/>
      <c r="K287" s="38"/>
      <c r="L287" s="39"/>
      <c r="M287" s="37"/>
      <c r="N287" s="60"/>
      <c r="O287" s="60"/>
      <c r="P287" s="40"/>
      <c r="R287" s="13"/>
      <c r="S287" s="13"/>
      <c r="T287" s="13"/>
    </row>
    <row r="288" spans="1:20" s="25" customFormat="1" x14ac:dyDescent="0.25">
      <c r="A288" s="37"/>
      <c r="B288" s="37"/>
      <c r="C288" s="37"/>
      <c r="D288" s="37"/>
      <c r="E288" s="38"/>
      <c r="F288" s="39"/>
      <c r="G288" s="37"/>
      <c r="H288" s="37"/>
      <c r="I288" s="38"/>
      <c r="J288" s="39"/>
      <c r="K288" s="38"/>
      <c r="L288" s="39"/>
      <c r="M288" s="37"/>
      <c r="N288" s="60"/>
      <c r="O288" s="60"/>
      <c r="P288" s="40"/>
      <c r="R288" s="13"/>
      <c r="S288" s="13"/>
      <c r="T288" s="13"/>
    </row>
    <row r="289" spans="1:20" s="25" customFormat="1" x14ac:dyDescent="0.25">
      <c r="A289" s="37"/>
      <c r="B289" s="37"/>
      <c r="C289" s="37"/>
      <c r="D289" s="37"/>
      <c r="E289" s="38"/>
      <c r="F289" s="39"/>
      <c r="G289" s="37"/>
      <c r="H289" s="37"/>
      <c r="I289" s="38"/>
      <c r="J289" s="39"/>
      <c r="K289" s="38"/>
      <c r="L289" s="39"/>
      <c r="M289" s="37"/>
      <c r="N289" s="60"/>
      <c r="O289" s="60"/>
      <c r="P289" s="40"/>
      <c r="R289" s="13"/>
      <c r="S289" s="13"/>
      <c r="T289" s="13"/>
    </row>
    <row r="290" spans="1:20" s="25" customFormat="1" x14ac:dyDescent="0.25">
      <c r="A290" s="37"/>
      <c r="B290" s="37"/>
      <c r="C290" s="37"/>
      <c r="D290" s="37"/>
      <c r="E290" s="38"/>
      <c r="F290" s="39"/>
      <c r="G290" s="37"/>
      <c r="H290" s="37"/>
      <c r="I290" s="38"/>
      <c r="J290" s="39"/>
      <c r="K290" s="38"/>
      <c r="L290" s="39"/>
      <c r="M290" s="37"/>
      <c r="N290" s="60"/>
      <c r="O290" s="60"/>
      <c r="P290" s="40"/>
      <c r="R290" s="13"/>
      <c r="S290" s="13"/>
      <c r="T290" s="13"/>
    </row>
    <row r="291" spans="1:20" s="25" customFormat="1" x14ac:dyDescent="0.25">
      <c r="A291" s="37"/>
      <c r="B291" s="37"/>
      <c r="C291" s="37"/>
      <c r="D291" s="37"/>
      <c r="E291" s="38"/>
      <c r="F291" s="39"/>
      <c r="G291" s="37"/>
      <c r="H291" s="37"/>
      <c r="I291" s="38"/>
      <c r="J291" s="39"/>
      <c r="K291" s="38"/>
      <c r="L291" s="39"/>
      <c r="M291" s="37"/>
      <c r="N291" s="60"/>
      <c r="O291" s="60"/>
      <c r="P291" s="40"/>
      <c r="R291" s="13"/>
      <c r="S291" s="13"/>
      <c r="T291" s="13"/>
    </row>
    <row r="292" spans="1:20" s="25" customFormat="1" x14ac:dyDescent="0.25">
      <c r="A292" s="37"/>
      <c r="B292" s="37"/>
      <c r="C292" s="37"/>
      <c r="D292" s="37"/>
      <c r="E292" s="38"/>
      <c r="F292" s="39"/>
      <c r="G292" s="37"/>
      <c r="H292" s="37"/>
      <c r="I292" s="38"/>
      <c r="J292" s="39"/>
      <c r="K292" s="38"/>
      <c r="L292" s="39"/>
      <c r="M292" s="37"/>
      <c r="N292" s="60"/>
      <c r="O292" s="60"/>
      <c r="P292" s="40"/>
      <c r="R292" s="13"/>
      <c r="S292" s="13"/>
      <c r="T292" s="13"/>
    </row>
    <row r="293" spans="1:20" s="25" customFormat="1" x14ac:dyDescent="0.25">
      <c r="A293" s="37"/>
      <c r="B293" s="37"/>
      <c r="C293" s="37"/>
      <c r="D293" s="37"/>
      <c r="E293" s="38"/>
      <c r="F293" s="39"/>
      <c r="G293" s="37"/>
      <c r="H293" s="37"/>
      <c r="I293" s="38"/>
      <c r="J293" s="39"/>
      <c r="K293" s="38"/>
      <c r="L293" s="39"/>
      <c r="M293" s="37"/>
      <c r="N293" s="60"/>
      <c r="O293" s="60"/>
      <c r="P293" s="40"/>
      <c r="R293" s="13"/>
      <c r="S293" s="13"/>
      <c r="T293" s="13"/>
    </row>
    <row r="294" spans="1:20" s="25" customFormat="1" x14ac:dyDescent="0.25">
      <c r="A294" s="37"/>
      <c r="B294" s="37"/>
      <c r="C294" s="37"/>
      <c r="D294" s="37"/>
      <c r="E294" s="38"/>
      <c r="F294" s="39"/>
      <c r="G294" s="37"/>
      <c r="H294" s="37"/>
      <c r="I294" s="38"/>
      <c r="J294" s="39"/>
      <c r="K294" s="38"/>
      <c r="L294" s="39"/>
      <c r="M294" s="37"/>
      <c r="N294" s="60"/>
      <c r="O294" s="60"/>
      <c r="P294" s="40"/>
      <c r="R294" s="13"/>
      <c r="S294" s="13"/>
      <c r="T294" s="13"/>
    </row>
    <row r="295" spans="1:20" s="25" customFormat="1" x14ac:dyDescent="0.25">
      <c r="A295" s="37"/>
      <c r="B295" s="37"/>
      <c r="C295" s="37"/>
      <c r="D295" s="37"/>
      <c r="E295" s="38"/>
      <c r="F295" s="39"/>
      <c r="G295" s="37"/>
      <c r="H295" s="37"/>
      <c r="I295" s="38"/>
      <c r="J295" s="39"/>
      <c r="K295" s="38"/>
      <c r="L295" s="39"/>
      <c r="M295" s="37"/>
      <c r="N295" s="60"/>
      <c r="O295" s="60"/>
      <c r="P295" s="40"/>
      <c r="R295" s="13"/>
      <c r="S295" s="13"/>
      <c r="T295" s="13"/>
    </row>
    <row r="296" spans="1:20" s="25" customFormat="1" x14ac:dyDescent="0.25">
      <c r="A296" s="37"/>
      <c r="B296" s="37"/>
      <c r="C296" s="37"/>
      <c r="D296" s="37"/>
      <c r="E296" s="38"/>
      <c r="F296" s="39"/>
      <c r="G296" s="37"/>
      <c r="H296" s="37"/>
      <c r="I296" s="38"/>
      <c r="J296" s="39"/>
      <c r="K296" s="38"/>
      <c r="L296" s="39"/>
      <c r="M296" s="37"/>
      <c r="N296" s="60"/>
      <c r="O296" s="60"/>
      <c r="P296" s="40"/>
      <c r="R296" s="13"/>
      <c r="S296" s="13"/>
      <c r="T296" s="13"/>
    </row>
    <row r="297" spans="1:20" s="25" customFormat="1" x14ac:dyDescent="0.25">
      <c r="A297" s="37"/>
      <c r="B297" s="37"/>
      <c r="C297" s="37"/>
      <c r="D297" s="37"/>
      <c r="E297" s="38"/>
      <c r="F297" s="39"/>
      <c r="G297" s="37"/>
      <c r="H297" s="37"/>
      <c r="I297" s="38"/>
      <c r="J297" s="39"/>
      <c r="K297" s="38"/>
      <c r="L297" s="39"/>
      <c r="M297" s="37"/>
      <c r="N297" s="60"/>
      <c r="O297" s="60"/>
      <c r="P297" s="40"/>
      <c r="R297" s="13"/>
      <c r="S297" s="13"/>
      <c r="T297" s="13"/>
    </row>
    <row r="298" spans="1:20" s="25" customFormat="1" x14ac:dyDescent="0.25">
      <c r="A298" s="37"/>
      <c r="B298" s="37"/>
      <c r="C298" s="37"/>
      <c r="D298" s="37"/>
      <c r="E298" s="38"/>
      <c r="F298" s="39"/>
      <c r="G298" s="37"/>
      <c r="H298" s="37"/>
      <c r="I298" s="38"/>
      <c r="J298" s="39"/>
      <c r="K298" s="38"/>
      <c r="L298" s="39"/>
      <c r="M298" s="37"/>
      <c r="N298" s="60"/>
      <c r="O298" s="60"/>
      <c r="P298" s="40"/>
      <c r="R298" s="13"/>
      <c r="S298" s="13"/>
      <c r="T298" s="13"/>
    </row>
    <row r="299" spans="1:20" s="25" customFormat="1" x14ac:dyDescent="0.25">
      <c r="A299" s="37"/>
      <c r="B299" s="37"/>
      <c r="C299" s="37"/>
      <c r="D299" s="37"/>
      <c r="E299" s="38"/>
      <c r="F299" s="39"/>
      <c r="G299" s="37"/>
      <c r="H299" s="37"/>
      <c r="I299" s="38"/>
      <c r="J299" s="39"/>
      <c r="K299" s="38"/>
      <c r="L299" s="39"/>
      <c r="M299" s="37"/>
      <c r="N299" s="60"/>
      <c r="O299" s="60"/>
      <c r="P299" s="40"/>
      <c r="R299" s="13"/>
      <c r="S299" s="13"/>
      <c r="T299" s="13"/>
    </row>
    <row r="300" spans="1:20" s="25" customFormat="1" x14ac:dyDescent="0.25">
      <c r="A300" s="37"/>
      <c r="B300" s="37"/>
      <c r="C300" s="37"/>
      <c r="D300" s="37"/>
      <c r="E300" s="38"/>
      <c r="F300" s="39"/>
      <c r="G300" s="37"/>
      <c r="H300" s="37"/>
      <c r="I300" s="38"/>
      <c r="J300" s="39"/>
      <c r="K300" s="38"/>
      <c r="L300" s="39"/>
      <c r="M300" s="37"/>
      <c r="N300" s="60"/>
      <c r="O300" s="60"/>
      <c r="P300" s="40"/>
      <c r="R300" s="13"/>
      <c r="S300" s="13"/>
      <c r="T300" s="13"/>
    </row>
    <row r="301" spans="1:20" s="25" customFormat="1" x14ac:dyDescent="0.25">
      <c r="A301" s="37"/>
      <c r="B301" s="37"/>
      <c r="C301" s="37"/>
      <c r="D301" s="37"/>
      <c r="E301" s="38"/>
      <c r="F301" s="39"/>
      <c r="G301" s="37"/>
      <c r="H301" s="37"/>
      <c r="I301" s="38"/>
      <c r="J301" s="39"/>
      <c r="K301" s="38"/>
      <c r="L301" s="39"/>
      <c r="M301" s="37"/>
      <c r="N301" s="60"/>
      <c r="O301" s="60"/>
      <c r="P301" s="40"/>
      <c r="R301" s="13"/>
      <c r="S301" s="13"/>
      <c r="T301" s="13"/>
    </row>
    <row r="302" spans="1:20" s="25" customFormat="1" x14ac:dyDescent="0.25">
      <c r="A302" s="37"/>
      <c r="B302" s="37"/>
      <c r="C302" s="37"/>
      <c r="D302" s="37"/>
      <c r="E302" s="38"/>
      <c r="F302" s="39"/>
      <c r="G302" s="37"/>
      <c r="H302" s="37"/>
      <c r="I302" s="38"/>
      <c r="J302" s="39"/>
      <c r="K302" s="38"/>
      <c r="L302" s="39"/>
      <c r="M302" s="37"/>
      <c r="N302" s="60"/>
      <c r="O302" s="60"/>
      <c r="P302" s="40"/>
      <c r="R302" s="13"/>
      <c r="S302" s="13"/>
      <c r="T302" s="13"/>
    </row>
    <row r="303" spans="1:20" s="25" customFormat="1" x14ac:dyDescent="0.25">
      <c r="A303" s="37"/>
      <c r="B303" s="37"/>
      <c r="C303" s="37"/>
      <c r="D303" s="37"/>
      <c r="E303" s="38"/>
      <c r="F303" s="39"/>
      <c r="G303" s="37"/>
      <c r="H303" s="37"/>
      <c r="I303" s="38"/>
      <c r="J303" s="39"/>
      <c r="K303" s="38"/>
      <c r="L303" s="39"/>
      <c r="M303" s="37"/>
      <c r="N303" s="60"/>
      <c r="O303" s="60"/>
      <c r="P303" s="40"/>
      <c r="R303" s="13"/>
      <c r="S303" s="13"/>
      <c r="T303" s="13"/>
    </row>
    <row r="304" spans="1:20" s="25" customFormat="1" x14ac:dyDescent="0.25">
      <c r="A304" s="37"/>
      <c r="B304" s="37"/>
      <c r="C304" s="37"/>
      <c r="D304" s="37"/>
      <c r="E304" s="38"/>
      <c r="F304" s="39"/>
      <c r="G304" s="37"/>
      <c r="H304" s="37"/>
      <c r="I304" s="38"/>
      <c r="J304" s="39"/>
      <c r="K304" s="38"/>
      <c r="L304" s="39"/>
      <c r="M304" s="37"/>
      <c r="N304" s="60"/>
      <c r="O304" s="60"/>
      <c r="P304" s="40"/>
      <c r="R304" s="13"/>
      <c r="S304" s="13"/>
      <c r="T304" s="13"/>
    </row>
    <row r="305" spans="1:20" s="25" customFormat="1" x14ac:dyDescent="0.25">
      <c r="A305" s="37"/>
      <c r="B305" s="37"/>
      <c r="C305" s="37"/>
      <c r="D305" s="37"/>
      <c r="E305" s="38"/>
      <c r="F305" s="39"/>
      <c r="G305" s="37"/>
      <c r="H305" s="37"/>
      <c r="I305" s="38"/>
      <c r="J305" s="39"/>
      <c r="K305" s="38"/>
      <c r="L305" s="39"/>
      <c r="M305" s="37"/>
      <c r="N305" s="60"/>
      <c r="O305" s="60"/>
      <c r="P305" s="40"/>
      <c r="R305" s="13"/>
      <c r="S305" s="13"/>
      <c r="T305" s="13"/>
    </row>
    <row r="306" spans="1:20" s="25" customFormat="1" x14ac:dyDescent="0.25">
      <c r="A306" s="37"/>
      <c r="B306" s="37"/>
      <c r="C306" s="37"/>
      <c r="D306" s="37"/>
      <c r="E306" s="38"/>
      <c r="F306" s="39"/>
      <c r="G306" s="37"/>
      <c r="H306" s="37"/>
      <c r="I306" s="38"/>
      <c r="J306" s="39"/>
      <c r="K306" s="38"/>
      <c r="L306" s="39"/>
      <c r="M306" s="37"/>
      <c r="N306" s="60"/>
      <c r="O306" s="60"/>
      <c r="P306" s="40"/>
      <c r="R306" s="13"/>
      <c r="S306" s="13"/>
      <c r="T306" s="13"/>
    </row>
    <row r="307" spans="1:20" s="25" customFormat="1" x14ac:dyDescent="0.25">
      <c r="A307" s="37"/>
      <c r="B307" s="37"/>
      <c r="C307" s="37"/>
      <c r="D307" s="37"/>
      <c r="E307" s="38"/>
      <c r="F307" s="39"/>
      <c r="G307" s="37"/>
      <c r="H307" s="37"/>
      <c r="I307" s="38"/>
      <c r="J307" s="39"/>
      <c r="K307" s="38"/>
      <c r="L307" s="39"/>
      <c r="M307" s="37"/>
      <c r="N307" s="60"/>
      <c r="O307" s="60"/>
      <c r="P307" s="40"/>
      <c r="R307" s="13"/>
      <c r="S307" s="13"/>
      <c r="T307" s="13"/>
    </row>
    <row r="308" spans="1:20" s="25" customFormat="1" x14ac:dyDescent="0.25">
      <c r="A308" s="37"/>
      <c r="B308" s="37"/>
      <c r="C308" s="37"/>
      <c r="D308" s="37"/>
      <c r="E308" s="38"/>
      <c r="F308" s="39"/>
      <c r="G308" s="37"/>
      <c r="H308" s="37"/>
      <c r="I308" s="38"/>
      <c r="J308" s="39"/>
      <c r="K308" s="38"/>
      <c r="L308" s="39"/>
      <c r="M308" s="37"/>
      <c r="N308" s="60"/>
      <c r="O308" s="60"/>
      <c r="P308" s="40"/>
      <c r="R308" s="13"/>
      <c r="S308" s="13"/>
      <c r="T308" s="13"/>
    </row>
    <row r="309" spans="1:20" s="25" customFormat="1" x14ac:dyDescent="0.25">
      <c r="A309" s="37"/>
      <c r="B309" s="37"/>
      <c r="C309" s="37"/>
      <c r="D309" s="37"/>
      <c r="E309" s="38"/>
      <c r="F309" s="39"/>
      <c r="G309" s="37"/>
      <c r="H309" s="37"/>
      <c r="I309" s="38"/>
      <c r="J309" s="39"/>
      <c r="K309" s="38"/>
      <c r="L309" s="39"/>
      <c r="M309" s="37"/>
      <c r="N309" s="60"/>
      <c r="O309" s="60"/>
      <c r="P309" s="40"/>
      <c r="R309" s="13"/>
      <c r="S309" s="13"/>
      <c r="T309" s="13"/>
    </row>
    <row r="310" spans="1:20" s="25" customFormat="1" x14ac:dyDescent="0.25">
      <c r="A310" s="37"/>
      <c r="B310" s="37"/>
      <c r="C310" s="37"/>
      <c r="D310" s="37"/>
      <c r="E310" s="38"/>
      <c r="F310" s="39"/>
      <c r="G310" s="37"/>
      <c r="H310" s="37"/>
      <c r="I310" s="38"/>
      <c r="J310" s="39"/>
      <c r="K310" s="38"/>
      <c r="L310" s="39"/>
      <c r="M310" s="37"/>
      <c r="N310" s="60"/>
      <c r="O310" s="60"/>
      <c r="P310" s="40"/>
      <c r="R310" s="13"/>
      <c r="S310" s="13"/>
      <c r="T310" s="13"/>
    </row>
    <row r="311" spans="1:20" s="25" customFormat="1" x14ac:dyDescent="0.25">
      <c r="A311" s="37"/>
      <c r="B311" s="37"/>
      <c r="C311" s="37"/>
      <c r="D311" s="37"/>
      <c r="E311" s="38"/>
      <c r="F311" s="39"/>
      <c r="G311" s="37"/>
      <c r="H311" s="37"/>
      <c r="I311" s="38"/>
      <c r="J311" s="39"/>
      <c r="K311" s="38"/>
      <c r="L311" s="39"/>
      <c r="M311" s="37"/>
      <c r="N311" s="60"/>
      <c r="O311" s="60"/>
      <c r="P311" s="40"/>
      <c r="R311" s="13"/>
      <c r="S311" s="13"/>
      <c r="T311" s="13"/>
    </row>
    <row r="312" spans="1:20" s="25" customFormat="1" x14ac:dyDescent="0.25">
      <c r="A312" s="37"/>
      <c r="B312" s="37"/>
      <c r="C312" s="37"/>
      <c r="D312" s="37"/>
      <c r="E312" s="38"/>
      <c r="F312" s="39"/>
      <c r="G312" s="37"/>
      <c r="H312" s="37"/>
      <c r="I312" s="38"/>
      <c r="J312" s="39"/>
      <c r="K312" s="38"/>
      <c r="L312" s="39"/>
      <c r="M312" s="37"/>
      <c r="N312" s="60"/>
      <c r="O312" s="60"/>
      <c r="P312" s="40"/>
      <c r="R312" s="13"/>
      <c r="S312" s="13"/>
      <c r="T312" s="13"/>
    </row>
    <row r="313" spans="1:20" s="25" customFormat="1" x14ac:dyDescent="0.25">
      <c r="A313" s="37"/>
      <c r="B313" s="37"/>
      <c r="C313" s="37"/>
      <c r="D313" s="37"/>
      <c r="E313" s="38"/>
      <c r="F313" s="39"/>
      <c r="G313" s="37"/>
      <c r="H313" s="37"/>
      <c r="I313" s="38"/>
      <c r="J313" s="39"/>
      <c r="K313" s="38"/>
      <c r="L313" s="39"/>
      <c r="M313" s="37"/>
      <c r="N313" s="60"/>
      <c r="O313" s="60"/>
      <c r="P313" s="40"/>
      <c r="R313" s="13"/>
      <c r="S313" s="13"/>
      <c r="T313" s="13"/>
    </row>
    <row r="314" spans="1:20" s="25" customFormat="1" x14ac:dyDescent="0.25">
      <c r="A314" s="37"/>
      <c r="B314" s="37"/>
      <c r="C314" s="37"/>
      <c r="D314" s="37"/>
      <c r="E314" s="38"/>
      <c r="F314" s="39"/>
      <c r="G314" s="37"/>
      <c r="H314" s="37"/>
      <c r="I314" s="38"/>
      <c r="J314" s="39"/>
      <c r="K314" s="38"/>
      <c r="L314" s="39"/>
      <c r="M314" s="37"/>
      <c r="N314" s="60"/>
      <c r="O314" s="60"/>
      <c r="P314" s="40"/>
      <c r="R314" s="13"/>
      <c r="S314" s="13"/>
      <c r="T314" s="13"/>
    </row>
    <row r="315" spans="1:20" s="25" customFormat="1" x14ac:dyDescent="0.25">
      <c r="A315" s="37"/>
      <c r="B315" s="37"/>
      <c r="C315" s="37"/>
      <c r="D315" s="37"/>
      <c r="E315" s="38"/>
      <c r="F315" s="39"/>
      <c r="G315" s="37"/>
      <c r="H315" s="37"/>
      <c r="I315" s="38"/>
      <c r="J315" s="39"/>
      <c r="K315" s="38"/>
      <c r="L315" s="39"/>
      <c r="M315" s="37"/>
      <c r="N315" s="60"/>
      <c r="O315" s="60"/>
      <c r="P315" s="40"/>
      <c r="R315" s="13"/>
      <c r="S315" s="13"/>
      <c r="T315" s="13"/>
    </row>
    <row r="316" spans="1:20" s="25" customFormat="1" x14ac:dyDescent="0.25">
      <c r="A316" s="37"/>
      <c r="B316" s="37"/>
      <c r="C316" s="37"/>
      <c r="D316" s="37"/>
      <c r="E316" s="38"/>
      <c r="F316" s="39"/>
      <c r="G316" s="37"/>
      <c r="H316" s="37"/>
      <c r="I316" s="38"/>
      <c r="J316" s="39"/>
      <c r="K316" s="38"/>
      <c r="L316" s="39"/>
      <c r="M316" s="37"/>
      <c r="N316" s="60"/>
      <c r="O316" s="60"/>
      <c r="P316" s="40"/>
      <c r="R316" s="13"/>
      <c r="S316" s="13"/>
      <c r="T316" s="13"/>
    </row>
    <row r="317" spans="1:20" s="25" customFormat="1" x14ac:dyDescent="0.25">
      <c r="A317" s="37"/>
      <c r="B317" s="37"/>
      <c r="C317" s="37"/>
      <c r="D317" s="37"/>
      <c r="E317" s="38"/>
      <c r="F317" s="39"/>
      <c r="G317" s="37"/>
      <c r="H317" s="37"/>
      <c r="I317" s="38"/>
      <c r="J317" s="39"/>
      <c r="K317" s="38"/>
      <c r="L317" s="39"/>
      <c r="M317" s="37"/>
      <c r="N317" s="60"/>
      <c r="O317" s="60"/>
      <c r="P317" s="40"/>
      <c r="R317" s="13"/>
      <c r="S317" s="13"/>
      <c r="T317" s="13"/>
    </row>
    <row r="318" spans="1:20" s="25" customFormat="1" x14ac:dyDescent="0.25">
      <c r="A318" s="37"/>
      <c r="B318" s="37"/>
      <c r="C318" s="37"/>
      <c r="D318" s="37"/>
      <c r="E318" s="38"/>
      <c r="F318" s="39"/>
      <c r="G318" s="37"/>
      <c r="H318" s="37"/>
      <c r="I318" s="38"/>
      <c r="J318" s="39"/>
      <c r="K318" s="38"/>
      <c r="L318" s="39"/>
      <c r="M318" s="37"/>
      <c r="N318" s="60"/>
      <c r="O318" s="60"/>
      <c r="P318" s="40"/>
      <c r="R318" s="13"/>
      <c r="S318" s="13"/>
      <c r="T318" s="13"/>
    </row>
    <row r="319" spans="1:20" s="25" customFormat="1" x14ac:dyDescent="0.25">
      <c r="A319" s="37"/>
      <c r="B319" s="37"/>
      <c r="C319" s="37"/>
      <c r="D319" s="37"/>
      <c r="E319" s="38"/>
      <c r="F319" s="39"/>
      <c r="G319" s="37"/>
      <c r="H319" s="37"/>
      <c r="I319" s="38"/>
      <c r="J319" s="39"/>
      <c r="K319" s="38"/>
      <c r="L319" s="39"/>
      <c r="M319" s="37"/>
      <c r="N319" s="60"/>
      <c r="O319" s="60"/>
      <c r="P319" s="40"/>
      <c r="R319" s="13"/>
      <c r="S319" s="13"/>
      <c r="T319" s="13"/>
    </row>
    <row r="320" spans="1:20" s="25" customFormat="1" x14ac:dyDescent="0.25">
      <c r="A320" s="37"/>
      <c r="B320" s="37"/>
      <c r="C320" s="37"/>
      <c r="D320" s="37"/>
      <c r="E320" s="38"/>
      <c r="F320" s="39"/>
      <c r="G320" s="37"/>
      <c r="H320" s="37"/>
      <c r="I320" s="38"/>
      <c r="J320" s="39"/>
      <c r="K320" s="38"/>
      <c r="L320" s="39"/>
      <c r="M320" s="37"/>
      <c r="N320" s="60"/>
      <c r="O320" s="60"/>
      <c r="P320" s="40"/>
      <c r="R320" s="13"/>
      <c r="S320" s="13"/>
      <c r="T320" s="13"/>
    </row>
    <row r="321" spans="1:20" s="25" customFormat="1" x14ac:dyDescent="0.25">
      <c r="A321" s="37"/>
      <c r="B321" s="37"/>
      <c r="C321" s="37"/>
      <c r="D321" s="37"/>
      <c r="E321" s="38"/>
      <c r="F321" s="39"/>
      <c r="G321" s="37"/>
      <c r="H321" s="37"/>
      <c r="I321" s="38"/>
      <c r="J321" s="39"/>
      <c r="K321" s="38"/>
      <c r="L321" s="39"/>
      <c r="M321" s="37"/>
      <c r="N321" s="60"/>
      <c r="O321" s="60"/>
      <c r="P321" s="40"/>
      <c r="R321" s="13"/>
      <c r="S321" s="13"/>
      <c r="T321" s="13"/>
    </row>
    <row r="322" spans="1:20" s="25" customFormat="1" x14ac:dyDescent="0.25">
      <c r="A322" s="37"/>
      <c r="B322" s="37"/>
      <c r="C322" s="37"/>
      <c r="D322" s="37"/>
      <c r="E322" s="38"/>
      <c r="F322" s="39"/>
      <c r="G322" s="37"/>
      <c r="H322" s="37"/>
      <c r="I322" s="38"/>
      <c r="J322" s="39"/>
      <c r="K322" s="38"/>
      <c r="L322" s="39"/>
      <c r="M322" s="37"/>
      <c r="N322" s="60"/>
      <c r="O322" s="60"/>
      <c r="P322" s="40"/>
      <c r="R322" s="13"/>
      <c r="S322" s="13"/>
      <c r="T322" s="13"/>
    </row>
    <row r="323" spans="1:20" s="25" customFormat="1" x14ac:dyDescent="0.25">
      <c r="A323" s="37"/>
      <c r="B323" s="37"/>
      <c r="C323" s="37"/>
      <c r="D323" s="37"/>
      <c r="E323" s="38"/>
      <c r="F323" s="39"/>
      <c r="G323" s="37"/>
      <c r="H323" s="37"/>
      <c r="I323" s="38"/>
      <c r="J323" s="39"/>
      <c r="K323" s="38"/>
      <c r="L323" s="39"/>
      <c r="M323" s="37"/>
      <c r="N323" s="60"/>
      <c r="O323" s="60"/>
      <c r="P323" s="40"/>
      <c r="R323" s="13"/>
      <c r="S323" s="13"/>
      <c r="T323" s="13"/>
    </row>
    <row r="324" spans="1:20" s="25" customFormat="1" x14ac:dyDescent="0.25">
      <c r="A324" s="37"/>
      <c r="B324" s="37"/>
      <c r="C324" s="37"/>
      <c r="D324" s="37"/>
      <c r="E324" s="38"/>
      <c r="F324" s="39"/>
      <c r="G324" s="37"/>
      <c r="H324" s="37"/>
      <c r="I324" s="38"/>
      <c r="J324" s="39"/>
      <c r="K324" s="38"/>
      <c r="L324" s="39"/>
      <c r="M324" s="37"/>
      <c r="N324" s="60"/>
      <c r="O324" s="60"/>
      <c r="P324" s="40"/>
      <c r="R324" s="13"/>
      <c r="S324" s="13"/>
      <c r="T324" s="13"/>
    </row>
    <row r="325" spans="1:20" s="25" customFormat="1" x14ac:dyDescent="0.25">
      <c r="A325" s="37"/>
      <c r="B325" s="37"/>
      <c r="C325" s="37"/>
      <c r="D325" s="37"/>
      <c r="E325" s="38"/>
      <c r="F325" s="39"/>
      <c r="G325" s="37"/>
      <c r="H325" s="37"/>
      <c r="I325" s="38"/>
      <c r="J325" s="39"/>
      <c r="K325" s="38"/>
      <c r="L325" s="39"/>
      <c r="M325" s="37"/>
      <c r="N325" s="60"/>
      <c r="O325" s="60"/>
      <c r="P325" s="40"/>
      <c r="R325" s="13"/>
      <c r="S325" s="13"/>
      <c r="T325" s="13"/>
    </row>
    <row r="326" spans="1:20" s="25" customFormat="1" x14ac:dyDescent="0.25">
      <c r="A326" s="37"/>
      <c r="B326" s="37"/>
      <c r="C326" s="37"/>
      <c r="D326" s="37"/>
      <c r="E326" s="38"/>
      <c r="F326" s="39"/>
      <c r="G326" s="37"/>
      <c r="H326" s="37"/>
      <c r="I326" s="38"/>
      <c r="J326" s="39"/>
      <c r="K326" s="38"/>
      <c r="L326" s="39"/>
      <c r="M326" s="37"/>
      <c r="N326" s="60"/>
      <c r="O326" s="60"/>
      <c r="P326" s="40"/>
      <c r="R326" s="13"/>
      <c r="S326" s="13"/>
      <c r="T326" s="13"/>
    </row>
    <row r="327" spans="1:20" s="25" customFormat="1" x14ac:dyDescent="0.25">
      <c r="A327" s="37"/>
      <c r="B327" s="37"/>
      <c r="C327" s="37"/>
      <c r="D327" s="37"/>
      <c r="E327" s="38"/>
      <c r="F327" s="39"/>
      <c r="G327" s="37"/>
      <c r="H327" s="37"/>
      <c r="I327" s="38"/>
      <c r="J327" s="39"/>
      <c r="K327" s="38"/>
      <c r="L327" s="39"/>
      <c r="M327" s="37"/>
      <c r="N327" s="60"/>
      <c r="O327" s="60"/>
      <c r="P327" s="40"/>
      <c r="R327" s="13"/>
      <c r="S327" s="13"/>
      <c r="T327" s="13"/>
    </row>
    <row r="328" spans="1:20" s="25" customFormat="1" x14ac:dyDescent="0.25">
      <c r="A328" s="37"/>
      <c r="B328" s="37"/>
      <c r="C328" s="37"/>
      <c r="D328" s="37"/>
      <c r="E328" s="38"/>
      <c r="F328" s="39"/>
      <c r="G328" s="37"/>
      <c r="H328" s="37"/>
      <c r="I328" s="38"/>
      <c r="J328" s="39"/>
      <c r="K328" s="38"/>
      <c r="L328" s="39"/>
      <c r="M328" s="37"/>
      <c r="N328" s="60"/>
      <c r="O328" s="60"/>
      <c r="P328" s="40"/>
      <c r="R328" s="13"/>
      <c r="S328" s="13"/>
      <c r="T328" s="13"/>
    </row>
    <row r="329" spans="1:20" s="25" customFormat="1" x14ac:dyDescent="0.25">
      <c r="A329" s="37"/>
      <c r="B329" s="37"/>
      <c r="C329" s="37"/>
      <c r="D329" s="37"/>
      <c r="E329" s="38"/>
      <c r="F329" s="39"/>
      <c r="G329" s="37"/>
      <c r="H329" s="37"/>
      <c r="I329" s="38"/>
      <c r="J329" s="39"/>
      <c r="K329" s="38"/>
      <c r="L329" s="39"/>
      <c r="M329" s="37"/>
      <c r="N329" s="60"/>
      <c r="O329" s="60"/>
      <c r="P329" s="40"/>
      <c r="R329" s="13"/>
      <c r="S329" s="13"/>
      <c r="T329" s="13"/>
    </row>
    <row r="330" spans="1:20" s="25" customFormat="1" x14ac:dyDescent="0.25">
      <c r="A330" s="37"/>
      <c r="B330" s="37"/>
      <c r="C330" s="37"/>
      <c r="D330" s="37"/>
      <c r="E330" s="38"/>
      <c r="F330" s="39"/>
      <c r="G330" s="37"/>
      <c r="H330" s="37"/>
      <c r="I330" s="38"/>
      <c r="J330" s="39"/>
      <c r="K330" s="38"/>
      <c r="L330" s="39"/>
      <c r="M330" s="37"/>
      <c r="N330" s="60"/>
      <c r="O330" s="60"/>
      <c r="P330" s="40"/>
      <c r="R330" s="13"/>
      <c r="S330" s="13"/>
      <c r="T330" s="13"/>
    </row>
    <row r="331" spans="1:20" s="25" customFormat="1" x14ac:dyDescent="0.25">
      <c r="A331" s="37"/>
      <c r="B331" s="37"/>
      <c r="C331" s="37"/>
      <c r="D331" s="37"/>
      <c r="E331" s="38"/>
      <c r="F331" s="39"/>
      <c r="G331" s="37"/>
      <c r="H331" s="37"/>
      <c r="I331" s="38"/>
      <c r="J331" s="39"/>
      <c r="K331" s="38"/>
      <c r="L331" s="39"/>
      <c r="M331" s="37"/>
      <c r="N331" s="60"/>
      <c r="O331" s="60"/>
      <c r="P331" s="40"/>
      <c r="R331" s="13"/>
      <c r="S331" s="13"/>
      <c r="T331" s="13"/>
    </row>
    <row r="332" spans="1:20" s="25" customFormat="1" x14ac:dyDescent="0.25">
      <c r="A332" s="37"/>
      <c r="B332" s="37"/>
      <c r="C332" s="37"/>
      <c r="D332" s="37"/>
      <c r="E332" s="38"/>
      <c r="F332" s="39"/>
      <c r="G332" s="37"/>
      <c r="H332" s="37"/>
      <c r="I332" s="38"/>
      <c r="J332" s="39"/>
      <c r="K332" s="38"/>
      <c r="L332" s="39"/>
      <c r="M332" s="37"/>
      <c r="N332" s="60"/>
      <c r="O332" s="60"/>
      <c r="P332" s="40"/>
      <c r="R332" s="13"/>
      <c r="S332" s="13"/>
      <c r="T332" s="13"/>
    </row>
    <row r="333" spans="1:20" s="25" customFormat="1" x14ac:dyDescent="0.25">
      <c r="A333" s="37"/>
      <c r="B333" s="37"/>
      <c r="C333" s="37"/>
      <c r="D333" s="37"/>
      <c r="E333" s="38"/>
      <c r="F333" s="39"/>
      <c r="G333" s="37"/>
      <c r="H333" s="37"/>
      <c r="I333" s="38"/>
      <c r="J333" s="39"/>
      <c r="K333" s="38"/>
      <c r="L333" s="39"/>
      <c r="M333" s="37"/>
      <c r="N333" s="60"/>
      <c r="O333" s="60"/>
      <c r="P333" s="40"/>
      <c r="R333" s="13"/>
      <c r="S333" s="13"/>
      <c r="T333" s="13"/>
    </row>
    <row r="334" spans="1:20" s="25" customFormat="1" x14ac:dyDescent="0.25">
      <c r="A334" s="37"/>
      <c r="B334" s="37"/>
      <c r="C334" s="37"/>
      <c r="D334" s="37"/>
      <c r="E334" s="38"/>
      <c r="F334" s="39"/>
      <c r="G334" s="37"/>
      <c r="H334" s="37"/>
      <c r="I334" s="38"/>
      <c r="J334" s="39"/>
      <c r="K334" s="38"/>
      <c r="L334" s="39"/>
      <c r="M334" s="37"/>
      <c r="N334" s="60"/>
      <c r="O334" s="60"/>
      <c r="P334" s="40"/>
      <c r="R334" s="13"/>
      <c r="S334" s="13"/>
      <c r="T334" s="13"/>
    </row>
    <row r="335" spans="1:20" s="25" customFormat="1" x14ac:dyDescent="0.25">
      <c r="A335" s="37"/>
      <c r="B335" s="37"/>
      <c r="C335" s="37"/>
      <c r="D335" s="37"/>
      <c r="E335" s="38"/>
      <c r="F335" s="39"/>
      <c r="G335" s="37"/>
      <c r="H335" s="37"/>
      <c r="I335" s="38"/>
      <c r="J335" s="39"/>
      <c r="K335" s="38"/>
      <c r="L335" s="39"/>
      <c r="M335" s="37"/>
      <c r="N335" s="60"/>
      <c r="O335" s="60"/>
      <c r="P335" s="40"/>
      <c r="R335" s="13"/>
      <c r="S335" s="13"/>
      <c r="T335" s="13"/>
    </row>
    <row r="336" spans="1:20" s="25" customFormat="1" x14ac:dyDescent="0.25">
      <c r="A336" s="37"/>
      <c r="B336" s="37"/>
      <c r="C336" s="37"/>
      <c r="D336" s="37"/>
      <c r="E336" s="38"/>
      <c r="F336" s="39"/>
      <c r="G336" s="37"/>
      <c r="H336" s="37"/>
      <c r="I336" s="38"/>
      <c r="J336" s="39"/>
      <c r="K336" s="38"/>
      <c r="L336" s="39"/>
      <c r="M336" s="37"/>
      <c r="N336" s="60"/>
      <c r="O336" s="60"/>
      <c r="P336" s="40"/>
      <c r="R336" s="13"/>
      <c r="S336" s="13"/>
      <c r="T336" s="13"/>
    </row>
    <row r="337" spans="1:20" s="25" customFormat="1" x14ac:dyDescent="0.25">
      <c r="A337" s="37"/>
      <c r="B337" s="37"/>
      <c r="C337" s="37"/>
      <c r="D337" s="37"/>
      <c r="E337" s="38"/>
      <c r="F337" s="39"/>
      <c r="G337" s="37"/>
      <c r="H337" s="37"/>
      <c r="I337" s="38"/>
      <c r="J337" s="39"/>
      <c r="K337" s="38"/>
      <c r="L337" s="39"/>
      <c r="M337" s="37"/>
      <c r="N337" s="60"/>
      <c r="O337" s="60"/>
      <c r="P337" s="40"/>
      <c r="R337" s="13"/>
      <c r="S337" s="13"/>
      <c r="T337" s="13"/>
    </row>
    <row r="338" spans="1:20" s="25" customFormat="1" x14ac:dyDescent="0.25">
      <c r="A338" s="37"/>
      <c r="B338" s="37"/>
      <c r="C338" s="37"/>
      <c r="D338" s="37"/>
      <c r="E338" s="38"/>
      <c r="F338" s="39"/>
      <c r="G338" s="37"/>
      <c r="H338" s="37"/>
      <c r="I338" s="38"/>
      <c r="J338" s="39"/>
      <c r="K338" s="38"/>
      <c r="L338" s="39"/>
      <c r="M338" s="37"/>
      <c r="N338" s="60"/>
      <c r="O338" s="60"/>
      <c r="P338" s="40"/>
      <c r="R338" s="13"/>
      <c r="S338" s="13"/>
      <c r="T338" s="13"/>
    </row>
    <row r="339" spans="1:20" s="25" customFormat="1" x14ac:dyDescent="0.25">
      <c r="A339" s="37"/>
      <c r="B339" s="37"/>
      <c r="C339" s="37"/>
      <c r="D339" s="37"/>
      <c r="E339" s="38"/>
      <c r="F339" s="39"/>
      <c r="G339" s="37"/>
      <c r="H339" s="37"/>
      <c r="I339" s="38"/>
      <c r="J339" s="39"/>
      <c r="K339" s="38"/>
      <c r="L339" s="39"/>
      <c r="M339" s="37"/>
      <c r="N339" s="60"/>
      <c r="O339" s="60"/>
      <c r="P339" s="40"/>
      <c r="R339" s="13"/>
      <c r="S339" s="13"/>
      <c r="T339" s="13"/>
    </row>
    <row r="340" spans="1:20" s="25" customFormat="1" x14ac:dyDescent="0.25">
      <c r="A340" s="37"/>
      <c r="B340" s="37"/>
      <c r="C340" s="37"/>
      <c r="D340" s="37"/>
      <c r="E340" s="38"/>
      <c r="F340" s="39"/>
      <c r="G340" s="37"/>
      <c r="H340" s="37"/>
      <c r="I340" s="38"/>
      <c r="J340" s="39"/>
      <c r="K340" s="38"/>
      <c r="L340" s="39"/>
      <c r="M340" s="37"/>
      <c r="N340" s="60"/>
      <c r="O340" s="60"/>
      <c r="P340" s="40"/>
      <c r="R340" s="13"/>
      <c r="S340" s="13"/>
      <c r="T340" s="13"/>
    </row>
    <row r="341" spans="1:20" s="25" customFormat="1" x14ac:dyDescent="0.25">
      <c r="A341" s="37"/>
      <c r="B341" s="37"/>
      <c r="C341" s="37"/>
      <c r="D341" s="37"/>
      <c r="E341" s="38"/>
      <c r="F341" s="39"/>
      <c r="G341" s="37"/>
      <c r="H341" s="37"/>
      <c r="I341" s="38"/>
      <c r="J341" s="39"/>
      <c r="K341" s="38"/>
      <c r="L341" s="39"/>
      <c r="M341" s="37"/>
      <c r="N341" s="60"/>
      <c r="O341" s="60"/>
      <c r="P341" s="40"/>
      <c r="R341" s="13"/>
      <c r="S341" s="13"/>
      <c r="T341" s="13"/>
    </row>
    <row r="342" spans="1:20" s="25" customFormat="1" x14ac:dyDescent="0.25">
      <c r="A342" s="37"/>
      <c r="B342" s="37"/>
      <c r="C342" s="37"/>
      <c r="D342" s="37"/>
      <c r="E342" s="38"/>
      <c r="F342" s="39"/>
      <c r="G342" s="37"/>
      <c r="H342" s="37"/>
      <c r="I342" s="38"/>
      <c r="J342" s="39"/>
      <c r="K342" s="38"/>
      <c r="L342" s="39"/>
      <c r="M342" s="37"/>
      <c r="N342" s="60"/>
      <c r="O342" s="60"/>
      <c r="P342" s="40"/>
      <c r="R342" s="13"/>
      <c r="S342" s="13"/>
      <c r="T342" s="13"/>
    </row>
    <row r="343" spans="1:20" s="25" customFormat="1" x14ac:dyDescent="0.25">
      <c r="A343" s="37"/>
      <c r="B343" s="37"/>
      <c r="C343" s="37"/>
      <c r="D343" s="37"/>
      <c r="E343" s="38"/>
      <c r="F343" s="39"/>
      <c r="G343" s="37"/>
      <c r="H343" s="37"/>
      <c r="I343" s="38"/>
      <c r="J343" s="39"/>
      <c r="K343" s="38"/>
      <c r="L343" s="39"/>
      <c r="M343" s="37"/>
      <c r="N343" s="60"/>
      <c r="O343" s="60"/>
      <c r="P343" s="40"/>
      <c r="R343" s="13"/>
      <c r="S343" s="13"/>
      <c r="T343" s="13"/>
    </row>
    <row r="344" spans="1:20" s="25" customFormat="1" x14ac:dyDescent="0.25">
      <c r="A344" s="37"/>
      <c r="B344" s="37"/>
      <c r="C344" s="37"/>
      <c r="D344" s="37"/>
      <c r="E344" s="38"/>
      <c r="F344" s="39"/>
      <c r="G344" s="37"/>
      <c r="H344" s="37"/>
      <c r="I344" s="38"/>
      <c r="J344" s="39"/>
      <c r="K344" s="38"/>
      <c r="L344" s="39"/>
      <c r="M344" s="37"/>
      <c r="N344" s="60"/>
      <c r="O344" s="60"/>
      <c r="P344" s="40"/>
      <c r="R344" s="13"/>
      <c r="S344" s="13"/>
      <c r="T344" s="13"/>
    </row>
    <row r="345" spans="1:20" s="25" customFormat="1" x14ac:dyDescent="0.25">
      <c r="A345" s="37"/>
      <c r="B345" s="37"/>
      <c r="C345" s="37"/>
      <c r="D345" s="37"/>
      <c r="E345" s="38"/>
      <c r="F345" s="39"/>
      <c r="G345" s="37"/>
      <c r="H345" s="37"/>
      <c r="I345" s="38"/>
      <c r="J345" s="39"/>
      <c r="K345" s="38"/>
      <c r="L345" s="39"/>
      <c r="M345" s="37"/>
      <c r="N345" s="60"/>
      <c r="O345" s="60"/>
      <c r="P345" s="40"/>
      <c r="R345" s="13"/>
      <c r="S345" s="13"/>
      <c r="T345" s="13"/>
    </row>
    <row r="346" spans="1:20" s="25" customFormat="1" x14ac:dyDescent="0.25">
      <c r="A346" s="37"/>
      <c r="B346" s="37"/>
      <c r="C346" s="37"/>
      <c r="D346" s="37"/>
      <c r="E346" s="38"/>
      <c r="F346" s="39"/>
      <c r="G346" s="37"/>
      <c r="H346" s="37"/>
      <c r="I346" s="38"/>
      <c r="J346" s="39"/>
      <c r="K346" s="38"/>
      <c r="L346" s="39"/>
      <c r="M346" s="37"/>
      <c r="N346" s="60"/>
      <c r="O346" s="60"/>
      <c r="P346" s="40"/>
      <c r="R346" s="13"/>
      <c r="S346" s="13"/>
      <c r="T346" s="13"/>
    </row>
    <row r="347" spans="1:20" s="25" customFormat="1" x14ac:dyDescent="0.25">
      <c r="A347" s="37"/>
      <c r="B347" s="37"/>
      <c r="C347" s="37"/>
      <c r="D347" s="37"/>
      <c r="E347" s="38"/>
      <c r="F347" s="39"/>
      <c r="G347" s="37"/>
      <c r="H347" s="37"/>
      <c r="I347" s="38"/>
      <c r="J347" s="39"/>
      <c r="K347" s="38"/>
      <c r="L347" s="39"/>
      <c r="M347" s="37"/>
      <c r="N347" s="60"/>
      <c r="O347" s="60"/>
      <c r="P347" s="40"/>
      <c r="R347" s="13"/>
      <c r="S347" s="13"/>
      <c r="T347" s="13"/>
    </row>
    <row r="348" spans="1:20" s="25" customFormat="1" x14ac:dyDescent="0.25">
      <c r="A348" s="37"/>
      <c r="B348" s="37"/>
      <c r="C348" s="37"/>
      <c r="D348" s="37"/>
      <c r="E348" s="38"/>
      <c r="F348" s="39"/>
      <c r="G348" s="37"/>
      <c r="H348" s="37"/>
      <c r="I348" s="38"/>
      <c r="J348" s="39"/>
      <c r="K348" s="38"/>
      <c r="L348" s="39"/>
      <c r="M348" s="37"/>
      <c r="N348" s="60"/>
      <c r="O348" s="60"/>
      <c r="P348" s="40"/>
      <c r="R348" s="13"/>
      <c r="S348" s="13"/>
      <c r="T348" s="13"/>
    </row>
    <row r="349" spans="1:20" s="25" customFormat="1" x14ac:dyDescent="0.25">
      <c r="A349" s="37"/>
      <c r="B349" s="37"/>
      <c r="C349" s="37"/>
      <c r="D349" s="37"/>
      <c r="E349" s="38"/>
      <c r="F349" s="39"/>
      <c r="G349" s="37"/>
      <c r="H349" s="37"/>
      <c r="I349" s="38"/>
      <c r="J349" s="39"/>
      <c r="K349" s="38"/>
      <c r="L349" s="39"/>
      <c r="M349" s="37"/>
      <c r="N349" s="60"/>
      <c r="O349" s="60"/>
      <c r="P349" s="40"/>
      <c r="R349" s="13"/>
      <c r="S349" s="13"/>
      <c r="T349" s="13"/>
    </row>
    <row r="350" spans="1:20" s="25" customFormat="1" x14ac:dyDescent="0.25">
      <c r="A350" s="37"/>
      <c r="B350" s="37"/>
      <c r="C350" s="37"/>
      <c r="D350" s="37"/>
      <c r="E350" s="38"/>
      <c r="F350" s="39"/>
      <c r="G350" s="37"/>
      <c r="H350" s="37"/>
      <c r="I350" s="38"/>
      <c r="J350" s="39"/>
      <c r="K350" s="38"/>
      <c r="L350" s="39"/>
      <c r="M350" s="37"/>
      <c r="N350" s="60"/>
      <c r="O350" s="60"/>
      <c r="P350" s="40"/>
      <c r="R350" s="13"/>
      <c r="S350" s="13"/>
      <c r="T350" s="13"/>
    </row>
    <row r="351" spans="1:20" s="25" customFormat="1" x14ac:dyDescent="0.25">
      <c r="A351" s="37"/>
      <c r="B351" s="37"/>
      <c r="C351" s="37"/>
      <c r="D351" s="37"/>
      <c r="E351" s="38"/>
      <c r="F351" s="39"/>
      <c r="G351" s="37"/>
      <c r="H351" s="37"/>
      <c r="I351" s="38"/>
      <c r="J351" s="39"/>
      <c r="K351" s="38"/>
      <c r="L351" s="39"/>
      <c r="M351" s="37"/>
      <c r="N351" s="60"/>
      <c r="O351" s="60"/>
      <c r="P351" s="40"/>
      <c r="R351" s="13"/>
      <c r="S351" s="13"/>
      <c r="T351" s="13"/>
    </row>
    <row r="352" spans="1:20" s="25" customFormat="1" x14ac:dyDescent="0.25">
      <c r="A352" s="37"/>
      <c r="B352" s="37"/>
      <c r="C352" s="37"/>
      <c r="D352" s="37"/>
      <c r="E352" s="38"/>
      <c r="F352" s="39"/>
      <c r="G352" s="37"/>
      <c r="H352" s="37"/>
      <c r="I352" s="38"/>
      <c r="J352" s="39"/>
      <c r="K352" s="38"/>
      <c r="L352" s="39"/>
      <c r="M352" s="37"/>
      <c r="N352" s="60"/>
      <c r="O352" s="60"/>
      <c r="P352" s="40"/>
      <c r="R352" s="13"/>
      <c r="S352" s="13"/>
      <c r="T352" s="13"/>
    </row>
    <row r="353" spans="1:20" s="25" customFormat="1" x14ac:dyDescent="0.25">
      <c r="A353" s="37"/>
      <c r="B353" s="37"/>
      <c r="C353" s="37"/>
      <c r="D353" s="37"/>
      <c r="E353" s="38"/>
      <c r="F353" s="39"/>
      <c r="G353" s="37"/>
      <c r="H353" s="37"/>
      <c r="I353" s="38"/>
      <c r="J353" s="39"/>
      <c r="K353" s="38"/>
      <c r="L353" s="39"/>
      <c r="M353" s="37"/>
      <c r="N353" s="60"/>
      <c r="O353" s="60"/>
      <c r="P353" s="40"/>
      <c r="R353" s="13"/>
      <c r="S353" s="13"/>
      <c r="T353" s="13"/>
    </row>
    <row r="354" spans="1:20" s="25" customFormat="1" x14ac:dyDescent="0.25">
      <c r="A354" s="37"/>
      <c r="B354" s="37"/>
      <c r="C354" s="37"/>
      <c r="D354" s="37"/>
      <c r="E354" s="38"/>
      <c r="F354" s="39"/>
      <c r="G354" s="37"/>
      <c r="H354" s="37"/>
      <c r="I354" s="38"/>
      <c r="J354" s="39"/>
      <c r="K354" s="38"/>
      <c r="L354" s="39"/>
      <c r="M354" s="37"/>
      <c r="N354" s="60"/>
      <c r="O354" s="60"/>
      <c r="P354" s="40"/>
      <c r="R354" s="13"/>
      <c r="S354" s="13"/>
      <c r="T354" s="13"/>
    </row>
    <row r="355" spans="1:20" s="25" customFormat="1" x14ac:dyDescent="0.25">
      <c r="A355" s="37"/>
      <c r="B355" s="37"/>
      <c r="C355" s="37"/>
      <c r="D355" s="37"/>
      <c r="E355" s="38"/>
      <c r="F355" s="39"/>
      <c r="G355" s="37"/>
      <c r="H355" s="37"/>
      <c r="I355" s="38"/>
      <c r="J355" s="39"/>
      <c r="K355" s="38"/>
      <c r="L355" s="39"/>
      <c r="M355" s="37"/>
      <c r="N355" s="60"/>
      <c r="O355" s="60"/>
      <c r="P355" s="40"/>
      <c r="R355" s="13"/>
      <c r="S355" s="13"/>
      <c r="T355" s="13"/>
    </row>
    <row r="356" spans="1:20" s="25" customFormat="1" x14ac:dyDescent="0.25">
      <c r="A356" s="37"/>
      <c r="B356" s="37"/>
      <c r="C356" s="37"/>
      <c r="D356" s="37"/>
      <c r="E356" s="38"/>
      <c r="F356" s="39"/>
      <c r="G356" s="37"/>
      <c r="H356" s="37"/>
      <c r="I356" s="38"/>
      <c r="J356" s="39"/>
      <c r="K356" s="38"/>
      <c r="L356" s="39"/>
      <c r="M356" s="37"/>
      <c r="N356" s="60"/>
      <c r="O356" s="60"/>
      <c r="P356" s="40"/>
      <c r="R356" s="13"/>
      <c r="S356" s="13"/>
      <c r="T356" s="13"/>
    </row>
    <row r="357" spans="1:20" s="25" customFormat="1" x14ac:dyDescent="0.25">
      <c r="A357" s="37"/>
      <c r="B357" s="37"/>
      <c r="C357" s="37"/>
      <c r="D357" s="37"/>
      <c r="E357" s="38"/>
      <c r="F357" s="39"/>
      <c r="G357" s="37"/>
      <c r="H357" s="37"/>
      <c r="I357" s="38"/>
      <c r="J357" s="39"/>
      <c r="K357" s="38"/>
      <c r="L357" s="39"/>
      <c r="M357" s="37"/>
      <c r="N357" s="60"/>
      <c r="O357" s="60"/>
      <c r="P357" s="40"/>
      <c r="R357" s="13"/>
      <c r="S357" s="13"/>
      <c r="T357" s="13"/>
    </row>
    <row r="358" spans="1:20" s="25" customFormat="1" x14ac:dyDescent="0.25">
      <c r="A358" s="37"/>
      <c r="B358" s="37"/>
      <c r="C358" s="37"/>
      <c r="D358" s="37"/>
      <c r="E358" s="38"/>
      <c r="F358" s="39"/>
      <c r="G358" s="37"/>
      <c r="H358" s="37"/>
      <c r="I358" s="38"/>
      <c r="J358" s="39"/>
      <c r="K358" s="38"/>
      <c r="L358" s="39"/>
      <c r="M358" s="37"/>
      <c r="N358" s="60"/>
      <c r="O358" s="60"/>
      <c r="P358" s="40"/>
      <c r="R358" s="13"/>
      <c r="S358" s="13"/>
      <c r="T358" s="13"/>
    </row>
    <row r="359" spans="1:20" s="25" customFormat="1" x14ac:dyDescent="0.25">
      <c r="A359" s="37"/>
      <c r="B359" s="37"/>
      <c r="C359" s="37"/>
      <c r="D359" s="37"/>
      <c r="E359" s="38"/>
      <c r="F359" s="39"/>
      <c r="G359" s="37"/>
      <c r="H359" s="37"/>
      <c r="I359" s="38"/>
      <c r="J359" s="39"/>
      <c r="K359" s="38"/>
      <c r="L359" s="39"/>
      <c r="M359" s="37"/>
      <c r="N359" s="60"/>
      <c r="O359" s="60"/>
      <c r="P359" s="40"/>
      <c r="R359" s="13"/>
      <c r="S359" s="13"/>
      <c r="T359" s="13"/>
    </row>
  </sheetData>
  <conditionalFormatting sqref="A5:P59">
    <cfRule type="expression" dxfId="9" priority="6">
      <formula>SEARCH("NO2.",#REF!)</formula>
    </cfRule>
    <cfRule type="expression" dxfId="8" priority="7">
      <formula>SEARCH("DREC",#REF!)</formula>
    </cfRule>
    <cfRule type="expression" dxfId="7" priority="8">
      <formula>SEARCH("OH.",#REF!)</formula>
    </cfRule>
    <cfRule type="expression" dxfId="6" priority="9">
      <formula>SEARCH("NO.",#REF!)</formula>
    </cfRule>
    <cfRule type="expression" dxfId="5" priority="10">
      <formula>SEARCH("NO2-NO3",#REF!)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U626"/>
  <sheetViews>
    <sheetView showGridLines="0" zoomScale="96" zoomScaleNormal="96" workbookViewId="0">
      <selection activeCell="U3" sqref="S3:U3"/>
    </sheetView>
  </sheetViews>
  <sheetFormatPr defaultRowHeight="15" x14ac:dyDescent="0.25"/>
  <cols>
    <col min="1" max="1" width="7" style="13" customWidth="1"/>
    <col min="2" max="2" width="10" style="25" customWidth="1"/>
    <col min="3" max="3" width="3.625" style="20" customWidth="1"/>
    <col min="4" max="4" width="10" style="13" customWidth="1"/>
    <col min="5" max="5" width="3.625" style="20" customWidth="1"/>
    <col min="6" max="6" width="10" style="13" customWidth="1"/>
    <col min="7" max="7" width="3.625" style="13" customWidth="1"/>
    <col min="8" max="8" width="10.125" style="26" bestFit="1" customWidth="1"/>
    <col min="9" max="9" width="3.625" style="13" customWidth="1"/>
    <col min="10" max="10" width="10" style="25" customWidth="1"/>
    <col min="11" max="11" width="3.625" style="20" customWidth="1"/>
    <col min="12" max="12" width="10" style="25" customWidth="1"/>
    <col min="13" max="13" width="3.625" style="20" customWidth="1"/>
    <col min="14" max="14" width="10" style="13" customWidth="1"/>
    <col min="15" max="15" width="49.5" style="25" bestFit="1" customWidth="1"/>
    <col min="16" max="16" width="10" style="19" customWidth="1"/>
    <col min="17" max="17" width="5.875" style="13" customWidth="1"/>
    <col min="18" max="19" width="9" style="13"/>
    <col min="20" max="20" width="9.25" style="13" customWidth="1"/>
    <col min="21" max="16384" width="9" style="13"/>
  </cols>
  <sheetData>
    <row r="2" spans="1:21" ht="24" customHeight="1" x14ac:dyDescent="0.25">
      <c r="A2" s="7" t="s">
        <v>5</v>
      </c>
      <c r="B2" s="7" t="s">
        <v>2</v>
      </c>
      <c r="C2" s="8"/>
      <c r="D2" s="9"/>
      <c r="E2" s="8"/>
      <c r="F2" s="9"/>
      <c r="G2" s="9"/>
      <c r="H2" s="10"/>
      <c r="I2" s="9"/>
      <c r="J2" s="11"/>
      <c r="K2" s="8"/>
      <c r="L2" s="11"/>
      <c r="M2" s="8"/>
      <c r="N2" s="9"/>
      <c r="O2" s="12" t="s">
        <v>10</v>
      </c>
      <c r="P2" s="12" t="s">
        <v>12</v>
      </c>
    </row>
    <row r="3" spans="1:21" ht="24" customHeight="1" x14ac:dyDescent="0.25">
      <c r="A3" s="14" t="s">
        <v>6</v>
      </c>
      <c r="B3" s="14" t="s">
        <v>1</v>
      </c>
      <c r="C3" s="15" t="s">
        <v>0</v>
      </c>
      <c r="D3" s="16" t="s">
        <v>3</v>
      </c>
      <c r="E3" s="15"/>
      <c r="F3" s="16"/>
      <c r="G3" s="17" t="s">
        <v>7</v>
      </c>
      <c r="H3" s="17"/>
      <c r="I3" s="15"/>
      <c r="J3" s="14" t="s">
        <v>9</v>
      </c>
      <c r="K3" s="15" t="s">
        <v>0</v>
      </c>
      <c r="L3" s="14" t="s">
        <v>8</v>
      </c>
      <c r="M3" s="15" t="s">
        <v>0</v>
      </c>
      <c r="N3" s="16" t="s">
        <v>1</v>
      </c>
      <c r="O3" s="18" t="s">
        <v>11</v>
      </c>
      <c r="P3" s="19" t="s">
        <v>4</v>
      </c>
      <c r="S3" s="27" t="s">
        <v>1041</v>
      </c>
      <c r="T3" s="13">
        <v>6.5</v>
      </c>
      <c r="U3" s="13" t="s">
        <v>1042</v>
      </c>
    </row>
    <row r="4" spans="1:21" ht="24" customHeight="1" x14ac:dyDescent="0.25">
      <c r="A4" s="1" t="s">
        <v>13</v>
      </c>
      <c r="B4" s="1" t="s">
        <v>1</v>
      </c>
      <c r="C4" s="2" t="s">
        <v>0</v>
      </c>
      <c r="D4" s="3" t="s">
        <v>3</v>
      </c>
      <c r="E4" s="2"/>
      <c r="F4" s="3"/>
      <c r="G4" s="4" t="s">
        <v>7</v>
      </c>
      <c r="H4" s="5"/>
      <c r="I4" s="4"/>
      <c r="J4" s="1" t="s">
        <v>642</v>
      </c>
      <c r="K4" s="2" t="s">
        <v>0</v>
      </c>
      <c r="L4" s="1" t="s">
        <v>1</v>
      </c>
      <c r="M4" s="2"/>
      <c r="N4" s="3"/>
      <c r="O4" s="1" t="s">
        <v>655</v>
      </c>
      <c r="P4" s="1" t="s">
        <v>4</v>
      </c>
      <c r="S4" s="13" t="s">
        <v>1043</v>
      </c>
      <c r="T4" s="28" t="e">
        <f>(Ee/T5)*(2/3)</f>
        <v>#NAME?</v>
      </c>
      <c r="U4" s="13" t="s">
        <v>1044</v>
      </c>
    </row>
    <row r="5" spans="1:21" ht="24" customHeight="1" x14ac:dyDescent="0.25">
      <c r="A5" s="1" t="s">
        <v>14</v>
      </c>
      <c r="B5" s="1" t="s">
        <v>1</v>
      </c>
      <c r="C5" s="2" t="s">
        <v>0</v>
      </c>
      <c r="D5" s="3" t="s">
        <v>3</v>
      </c>
      <c r="E5" s="2"/>
      <c r="F5" s="3"/>
      <c r="G5" s="4" t="s">
        <v>7</v>
      </c>
      <c r="H5" s="5"/>
      <c r="I5" s="4"/>
      <c r="J5" s="1" t="s">
        <v>643</v>
      </c>
      <c r="K5" s="2" t="s">
        <v>0</v>
      </c>
      <c r="L5" s="1" t="s">
        <v>1</v>
      </c>
      <c r="M5" s="2"/>
      <c r="N5" s="3"/>
      <c r="O5" s="1" t="s">
        <v>656</v>
      </c>
      <c r="P5" s="1" t="s">
        <v>4</v>
      </c>
      <c r="S5" s="13" t="s">
        <v>1045</v>
      </c>
      <c r="T5" s="29">
        <f>8.617*10^-5</f>
        <v>8.617000000000001E-5</v>
      </c>
      <c r="U5" s="13" t="s">
        <v>1046</v>
      </c>
    </row>
    <row r="6" spans="1:21" ht="24" customHeight="1" x14ac:dyDescent="0.25">
      <c r="A6" s="1" t="s">
        <v>15</v>
      </c>
      <c r="B6" s="1" t="s">
        <v>1</v>
      </c>
      <c r="C6" s="2" t="s">
        <v>0</v>
      </c>
      <c r="D6" s="3" t="s">
        <v>3</v>
      </c>
      <c r="E6" s="2"/>
      <c r="F6" s="3"/>
      <c r="G6" s="4" t="s">
        <v>7</v>
      </c>
      <c r="H6" s="5"/>
      <c r="I6" s="4"/>
      <c r="J6" s="1" t="s">
        <v>644</v>
      </c>
      <c r="K6" s="2" t="s">
        <v>0</v>
      </c>
      <c r="L6" s="1" t="s">
        <v>1</v>
      </c>
      <c r="M6" s="2" t="s">
        <v>0</v>
      </c>
      <c r="N6" s="3" t="s">
        <v>1</v>
      </c>
      <c r="O6" s="1" t="s">
        <v>657</v>
      </c>
      <c r="P6" s="1" t="s">
        <v>4</v>
      </c>
      <c r="S6" s="13" t="s">
        <v>1047</v>
      </c>
      <c r="T6" s="13">
        <f>2.7*10^25</f>
        <v>2.7000000000000004E+25</v>
      </c>
      <c r="U6" s="13" t="s">
        <v>1048</v>
      </c>
    </row>
    <row r="7" spans="1:21" ht="24" customHeight="1" x14ac:dyDescent="0.25">
      <c r="A7" s="1" t="s">
        <v>16</v>
      </c>
      <c r="B7" s="1" t="s">
        <v>1</v>
      </c>
      <c r="C7" s="2" t="s">
        <v>0</v>
      </c>
      <c r="D7" s="3" t="s">
        <v>636</v>
      </c>
      <c r="E7" s="2"/>
      <c r="F7" s="3"/>
      <c r="G7" s="4" t="s">
        <v>7</v>
      </c>
      <c r="H7" s="5"/>
      <c r="I7" s="4"/>
      <c r="J7" s="1" t="s">
        <v>9</v>
      </c>
      <c r="K7" s="2" t="s">
        <v>0</v>
      </c>
      <c r="L7" s="1" t="s">
        <v>1</v>
      </c>
      <c r="O7" s="1" t="s">
        <v>658</v>
      </c>
      <c r="P7" s="1" t="s">
        <v>4</v>
      </c>
    </row>
    <row r="8" spans="1:21" ht="24" customHeight="1" x14ac:dyDescent="0.25">
      <c r="A8" s="1" t="s">
        <v>17</v>
      </c>
      <c r="B8" s="1" t="s">
        <v>1</v>
      </c>
      <c r="C8" s="2" t="s">
        <v>0</v>
      </c>
      <c r="D8" s="3" t="s">
        <v>636</v>
      </c>
      <c r="E8" s="2"/>
      <c r="F8" s="3"/>
      <c r="G8" s="4" t="s">
        <v>7</v>
      </c>
      <c r="H8" s="5"/>
      <c r="I8" s="4"/>
      <c r="J8" s="1" t="s">
        <v>645</v>
      </c>
      <c r="K8" s="2" t="s">
        <v>0</v>
      </c>
      <c r="L8" s="1" t="s">
        <v>1</v>
      </c>
      <c r="M8" s="2" t="s">
        <v>0</v>
      </c>
      <c r="N8" s="3" t="s">
        <v>1</v>
      </c>
      <c r="O8" s="1" t="s">
        <v>659</v>
      </c>
      <c r="P8" s="1" t="s">
        <v>4</v>
      </c>
    </row>
    <row r="9" spans="1:21" ht="24" customHeight="1" x14ac:dyDescent="0.25">
      <c r="A9" s="1" t="s">
        <v>18</v>
      </c>
      <c r="B9" s="1" t="s">
        <v>1</v>
      </c>
      <c r="C9" s="2" t="s">
        <v>0</v>
      </c>
      <c r="D9" s="3" t="s">
        <v>637</v>
      </c>
      <c r="E9" s="2"/>
      <c r="F9" s="3"/>
      <c r="G9" s="4" t="s">
        <v>7</v>
      </c>
      <c r="H9" s="5"/>
      <c r="I9" s="4"/>
      <c r="J9" s="1" t="s">
        <v>639</v>
      </c>
      <c r="K9" s="2" t="s">
        <v>0</v>
      </c>
      <c r="L9" s="1" t="s">
        <v>639</v>
      </c>
      <c r="M9" s="2" t="s">
        <v>0</v>
      </c>
      <c r="N9" s="3" t="s">
        <v>1</v>
      </c>
      <c r="O9" s="1" t="s">
        <v>660</v>
      </c>
      <c r="P9" s="1" t="s">
        <v>4</v>
      </c>
    </row>
    <row r="10" spans="1:21" ht="24" customHeight="1" x14ac:dyDescent="0.25">
      <c r="A10" s="1" t="s">
        <v>19</v>
      </c>
      <c r="B10" s="1" t="s">
        <v>1</v>
      </c>
      <c r="C10" s="2" t="s">
        <v>0</v>
      </c>
      <c r="D10" s="3" t="s">
        <v>637</v>
      </c>
      <c r="E10" s="2"/>
      <c r="F10" s="3"/>
      <c r="G10" s="4" t="s">
        <v>7</v>
      </c>
      <c r="H10" s="5"/>
      <c r="I10" s="4"/>
      <c r="J10" s="1" t="s">
        <v>646</v>
      </c>
      <c r="K10" s="2" t="s">
        <v>0</v>
      </c>
      <c r="L10" s="1" t="s">
        <v>639</v>
      </c>
      <c r="M10" s="2" t="s">
        <v>0</v>
      </c>
      <c r="N10" s="3" t="s">
        <v>1</v>
      </c>
      <c r="O10" s="1" t="s">
        <v>661</v>
      </c>
      <c r="P10" s="1" t="s">
        <v>4</v>
      </c>
    </row>
    <row r="11" spans="1:21" ht="24" customHeight="1" x14ac:dyDescent="0.25">
      <c r="A11" s="1" t="s">
        <v>20</v>
      </c>
      <c r="B11" s="1" t="s">
        <v>1</v>
      </c>
      <c r="C11" s="2" t="s">
        <v>0</v>
      </c>
      <c r="D11" s="3" t="s">
        <v>637</v>
      </c>
      <c r="E11" s="2"/>
      <c r="F11" s="3"/>
      <c r="G11" s="4" t="s">
        <v>7</v>
      </c>
      <c r="H11" s="5"/>
      <c r="I11" s="4"/>
      <c r="J11" s="1" t="s">
        <v>647</v>
      </c>
      <c r="K11" s="2" t="s">
        <v>0</v>
      </c>
      <c r="L11" s="1" t="s">
        <v>1</v>
      </c>
      <c r="M11" s="2"/>
      <c r="N11" s="3"/>
      <c r="O11" s="1" t="s">
        <v>662</v>
      </c>
      <c r="P11" s="1" t="s">
        <v>4</v>
      </c>
    </row>
    <row r="12" spans="1:21" ht="24" customHeight="1" x14ac:dyDescent="0.25">
      <c r="A12" s="1" t="s">
        <v>21</v>
      </c>
      <c r="B12" s="1" t="s">
        <v>1</v>
      </c>
      <c r="C12" s="2" t="s">
        <v>0</v>
      </c>
      <c r="D12" s="3" t="s">
        <v>637</v>
      </c>
      <c r="E12" s="2"/>
      <c r="F12" s="3"/>
      <c r="G12" s="4" t="s">
        <v>7</v>
      </c>
      <c r="H12" s="5"/>
      <c r="I12" s="4"/>
      <c r="J12" s="1" t="s">
        <v>648</v>
      </c>
      <c r="K12" s="2" t="s">
        <v>0</v>
      </c>
      <c r="L12" s="1" t="s">
        <v>1</v>
      </c>
      <c r="M12" s="2" t="s">
        <v>0</v>
      </c>
      <c r="N12" s="3" t="s">
        <v>1</v>
      </c>
      <c r="O12" s="1" t="s">
        <v>663</v>
      </c>
      <c r="P12" s="1" t="s">
        <v>4</v>
      </c>
    </row>
    <row r="13" spans="1:21" ht="24" customHeight="1" x14ac:dyDescent="0.25">
      <c r="A13" s="1" t="s">
        <v>22</v>
      </c>
      <c r="B13" s="1" t="s">
        <v>1</v>
      </c>
      <c r="C13" s="2" t="s">
        <v>0</v>
      </c>
      <c r="D13" s="3" t="s">
        <v>638</v>
      </c>
      <c r="E13" s="2"/>
      <c r="F13" s="3"/>
      <c r="G13" s="4" t="s">
        <v>7</v>
      </c>
      <c r="H13" s="5"/>
      <c r="I13" s="4"/>
      <c r="J13" s="1" t="s">
        <v>639</v>
      </c>
      <c r="K13" s="2" t="s">
        <v>0</v>
      </c>
      <c r="L13" s="1" t="s">
        <v>649</v>
      </c>
      <c r="M13" s="2" t="s">
        <v>0</v>
      </c>
      <c r="N13" s="3" t="s">
        <v>1</v>
      </c>
      <c r="O13" s="1" t="s">
        <v>664</v>
      </c>
      <c r="P13" s="1" t="s">
        <v>4</v>
      </c>
    </row>
    <row r="14" spans="1:21" ht="24" customHeight="1" x14ac:dyDescent="0.25">
      <c r="A14" s="1" t="s">
        <v>23</v>
      </c>
      <c r="B14" s="1" t="s">
        <v>1</v>
      </c>
      <c r="C14" s="2" t="s">
        <v>0</v>
      </c>
      <c r="D14" s="3" t="s">
        <v>639</v>
      </c>
      <c r="E14" s="2"/>
      <c r="F14" s="3"/>
      <c r="G14" s="4" t="s">
        <v>7</v>
      </c>
      <c r="H14" s="5"/>
      <c r="I14" s="4"/>
      <c r="J14" s="1" t="s">
        <v>646</v>
      </c>
      <c r="K14" s="2" t="s">
        <v>0</v>
      </c>
      <c r="L14" s="1" t="s">
        <v>1</v>
      </c>
      <c r="M14" s="2"/>
      <c r="N14" s="3"/>
      <c r="O14" s="1" t="s">
        <v>665</v>
      </c>
      <c r="P14" s="1" t="s">
        <v>4</v>
      </c>
    </row>
    <row r="15" spans="1:21" ht="24" customHeight="1" x14ac:dyDescent="0.25">
      <c r="A15" s="1" t="s">
        <v>24</v>
      </c>
      <c r="B15" s="1" t="s">
        <v>1</v>
      </c>
      <c r="C15" s="2" t="s">
        <v>0</v>
      </c>
      <c r="D15" s="3" t="s">
        <v>639</v>
      </c>
      <c r="E15" s="2"/>
      <c r="F15" s="3"/>
      <c r="G15" s="4" t="s">
        <v>7</v>
      </c>
      <c r="H15" s="5"/>
      <c r="I15" s="4"/>
      <c r="J15" s="1" t="s">
        <v>650</v>
      </c>
      <c r="K15" s="2" t="s">
        <v>0</v>
      </c>
      <c r="L15" s="1" t="s">
        <v>1</v>
      </c>
      <c r="M15" s="2" t="s">
        <v>0</v>
      </c>
      <c r="N15" s="3" t="s">
        <v>1</v>
      </c>
      <c r="O15" s="1" t="s">
        <v>666</v>
      </c>
      <c r="P15" s="1" t="s">
        <v>4</v>
      </c>
    </row>
    <row r="16" spans="1:21" ht="24" customHeight="1" x14ac:dyDescent="0.25">
      <c r="A16" s="1" t="s">
        <v>25</v>
      </c>
      <c r="B16" s="1" t="s">
        <v>1</v>
      </c>
      <c r="C16" s="2" t="s">
        <v>0</v>
      </c>
      <c r="D16" s="3" t="s">
        <v>641</v>
      </c>
      <c r="E16" s="2"/>
      <c r="F16" s="3"/>
      <c r="G16" s="4" t="s">
        <v>7</v>
      </c>
      <c r="H16" s="5"/>
      <c r="I16" s="4"/>
      <c r="J16" s="1" t="s">
        <v>651</v>
      </c>
      <c r="K16" s="2" t="s">
        <v>0</v>
      </c>
      <c r="L16" s="1" t="s">
        <v>1</v>
      </c>
      <c r="M16" s="2" t="s">
        <v>0</v>
      </c>
      <c r="N16" s="3" t="s">
        <v>1</v>
      </c>
      <c r="O16" s="1" t="s">
        <v>667</v>
      </c>
      <c r="P16" s="1" t="s">
        <v>4</v>
      </c>
    </row>
    <row r="17" spans="1:16" ht="24" customHeight="1" x14ac:dyDescent="0.25">
      <c r="A17" s="1" t="s">
        <v>26</v>
      </c>
      <c r="B17" s="1" t="s">
        <v>1</v>
      </c>
      <c r="C17" s="2" t="s">
        <v>0</v>
      </c>
      <c r="D17" s="3" t="s">
        <v>641</v>
      </c>
      <c r="E17" s="2"/>
      <c r="F17" s="3"/>
      <c r="G17" s="4" t="s">
        <v>7</v>
      </c>
      <c r="H17" s="1" t="s">
        <v>652</v>
      </c>
      <c r="I17" s="4" t="s">
        <v>0</v>
      </c>
      <c r="J17" s="21" t="s">
        <v>653</v>
      </c>
      <c r="K17" s="2" t="s">
        <v>0</v>
      </c>
      <c r="L17" s="1" t="s">
        <v>1</v>
      </c>
      <c r="M17" s="2" t="s">
        <v>0</v>
      </c>
      <c r="N17" s="3" t="s">
        <v>1</v>
      </c>
      <c r="O17" s="1" t="s">
        <v>668</v>
      </c>
      <c r="P17" s="1" t="s">
        <v>4</v>
      </c>
    </row>
    <row r="18" spans="1:16" ht="24" customHeight="1" x14ac:dyDescent="0.25">
      <c r="A18" s="1" t="s">
        <v>27</v>
      </c>
      <c r="B18" s="1" t="s">
        <v>1</v>
      </c>
      <c r="C18" s="2" t="s">
        <v>0</v>
      </c>
      <c r="D18" s="3" t="s">
        <v>641</v>
      </c>
      <c r="E18" s="2"/>
      <c r="F18" s="3"/>
      <c r="G18" s="4" t="s">
        <v>7</v>
      </c>
      <c r="H18" s="1" t="s">
        <v>685</v>
      </c>
      <c r="I18" s="4" t="s">
        <v>0</v>
      </c>
      <c r="J18" s="21" t="s">
        <v>654</v>
      </c>
      <c r="K18" s="2" t="s">
        <v>0</v>
      </c>
      <c r="L18" s="1" t="s">
        <v>1</v>
      </c>
      <c r="M18" s="2" t="s">
        <v>0</v>
      </c>
      <c r="N18" s="3" t="s">
        <v>1</v>
      </c>
      <c r="O18" s="1" t="s">
        <v>669</v>
      </c>
      <c r="P18" s="1" t="s">
        <v>4</v>
      </c>
    </row>
    <row r="19" spans="1:16" ht="24" customHeight="1" x14ac:dyDescent="0.25">
      <c r="A19" s="1" t="s">
        <v>28</v>
      </c>
      <c r="B19" s="1" t="s">
        <v>1</v>
      </c>
      <c r="C19" s="2" t="s">
        <v>0</v>
      </c>
      <c r="D19" s="3" t="s">
        <v>641</v>
      </c>
      <c r="E19" s="2"/>
      <c r="F19" s="3"/>
      <c r="G19" s="4" t="s">
        <v>7</v>
      </c>
      <c r="H19" s="1" t="s">
        <v>678</v>
      </c>
      <c r="I19" s="4" t="s">
        <v>0</v>
      </c>
      <c r="J19" s="21" t="s">
        <v>686</v>
      </c>
      <c r="K19" s="2" t="s">
        <v>0</v>
      </c>
      <c r="L19" s="1" t="s">
        <v>1</v>
      </c>
      <c r="M19" s="2" t="s">
        <v>0</v>
      </c>
      <c r="N19" s="3" t="s">
        <v>1</v>
      </c>
      <c r="O19" s="1" t="s">
        <v>670</v>
      </c>
      <c r="P19" s="1" t="s">
        <v>4</v>
      </c>
    </row>
    <row r="20" spans="1:16" ht="24" customHeight="1" x14ac:dyDescent="0.25">
      <c r="A20" s="1" t="s">
        <v>29</v>
      </c>
      <c r="B20" s="1" t="s">
        <v>1</v>
      </c>
      <c r="C20" s="2" t="s">
        <v>0</v>
      </c>
      <c r="D20" s="3" t="s">
        <v>641</v>
      </c>
      <c r="E20" s="2"/>
      <c r="F20" s="3"/>
      <c r="G20" s="4" t="s">
        <v>7</v>
      </c>
      <c r="H20" s="3" t="s">
        <v>682</v>
      </c>
      <c r="I20" s="4" t="s">
        <v>0</v>
      </c>
      <c r="J20" s="21" t="s">
        <v>639</v>
      </c>
      <c r="K20" s="2" t="s">
        <v>0</v>
      </c>
      <c r="L20" s="1" t="s">
        <v>1</v>
      </c>
      <c r="M20" s="2" t="s">
        <v>0</v>
      </c>
      <c r="N20" s="3" t="s">
        <v>1</v>
      </c>
      <c r="O20" s="1" t="s">
        <v>671</v>
      </c>
      <c r="P20" s="1" t="s">
        <v>4</v>
      </c>
    </row>
    <row r="21" spans="1:16" ht="24" customHeight="1" x14ac:dyDescent="0.25">
      <c r="A21" s="1" t="s">
        <v>30</v>
      </c>
      <c r="B21" s="1" t="s">
        <v>1</v>
      </c>
      <c r="C21" s="2" t="s">
        <v>0</v>
      </c>
      <c r="D21" s="3" t="s">
        <v>641</v>
      </c>
      <c r="E21" s="2"/>
      <c r="F21" s="3"/>
      <c r="G21" s="4" t="s">
        <v>7</v>
      </c>
      <c r="H21" s="5"/>
      <c r="I21" s="4"/>
      <c r="J21" s="1" t="s">
        <v>654</v>
      </c>
      <c r="K21" s="2" t="s">
        <v>0</v>
      </c>
      <c r="L21" s="1" t="s">
        <v>653</v>
      </c>
      <c r="M21" s="2" t="s">
        <v>0</v>
      </c>
      <c r="N21" s="3" t="s">
        <v>1</v>
      </c>
      <c r="O21" s="1" t="s">
        <v>672</v>
      </c>
      <c r="P21" s="1" t="s">
        <v>4</v>
      </c>
    </row>
    <row r="22" spans="1:16" ht="24" customHeight="1" x14ac:dyDescent="0.25">
      <c r="A22" s="1" t="s">
        <v>31</v>
      </c>
      <c r="B22" s="1" t="s">
        <v>1</v>
      </c>
      <c r="C22" s="2" t="s">
        <v>0</v>
      </c>
      <c r="D22" s="3" t="s">
        <v>641</v>
      </c>
      <c r="E22" s="2"/>
      <c r="F22" s="3"/>
      <c r="G22" s="4" t="s">
        <v>7</v>
      </c>
      <c r="H22" s="5"/>
      <c r="I22" s="4"/>
      <c r="J22" s="1" t="s">
        <v>640</v>
      </c>
      <c r="K22" s="2" t="s">
        <v>0</v>
      </c>
      <c r="L22" s="1" t="s">
        <v>646</v>
      </c>
      <c r="M22" s="2" t="s">
        <v>0</v>
      </c>
      <c r="N22" s="3" t="s">
        <v>1</v>
      </c>
      <c r="O22" s="1" t="s">
        <v>673</v>
      </c>
      <c r="P22" s="1" t="s">
        <v>4</v>
      </c>
    </row>
    <row r="23" spans="1:16" ht="24" customHeight="1" x14ac:dyDescent="0.25">
      <c r="A23" s="1" t="s">
        <v>32</v>
      </c>
      <c r="B23" s="1" t="s">
        <v>1</v>
      </c>
      <c r="C23" s="2" t="s">
        <v>0</v>
      </c>
      <c r="D23" s="3" t="s">
        <v>640</v>
      </c>
      <c r="E23" s="2"/>
      <c r="F23" s="3"/>
      <c r="G23" s="4" t="s">
        <v>7</v>
      </c>
      <c r="H23" s="5"/>
      <c r="I23" s="4"/>
      <c r="J23" s="1" t="s">
        <v>653</v>
      </c>
      <c r="K23" s="2" t="s">
        <v>0</v>
      </c>
      <c r="L23" s="1" t="s">
        <v>653</v>
      </c>
      <c r="M23" s="2" t="s">
        <v>0</v>
      </c>
      <c r="N23" s="3" t="s">
        <v>1</v>
      </c>
      <c r="O23" s="1" t="s">
        <v>692</v>
      </c>
      <c r="P23" s="1" t="s">
        <v>4</v>
      </c>
    </row>
    <row r="24" spans="1:16" ht="24" customHeight="1" x14ac:dyDescent="0.25">
      <c r="A24" s="1" t="s">
        <v>33</v>
      </c>
      <c r="B24" s="1" t="s">
        <v>1</v>
      </c>
      <c r="C24" s="2" t="s">
        <v>0</v>
      </c>
      <c r="D24" s="3" t="s">
        <v>640</v>
      </c>
      <c r="E24" s="2"/>
      <c r="F24" s="3"/>
      <c r="G24" s="4" t="s">
        <v>7</v>
      </c>
      <c r="H24" s="5"/>
      <c r="I24" s="4"/>
      <c r="J24" s="22" t="s">
        <v>682</v>
      </c>
      <c r="K24" s="2" t="s">
        <v>0</v>
      </c>
      <c r="L24" s="1" t="s">
        <v>1</v>
      </c>
      <c r="M24" s="2" t="s">
        <v>0</v>
      </c>
      <c r="N24" s="3" t="s">
        <v>1</v>
      </c>
      <c r="O24" s="1" t="s">
        <v>693</v>
      </c>
      <c r="P24" s="1" t="s">
        <v>4</v>
      </c>
    </row>
    <row r="25" spans="1:16" ht="24" customHeight="1" x14ac:dyDescent="0.25">
      <c r="A25" s="1" t="s">
        <v>34</v>
      </c>
      <c r="B25" s="1" t="s">
        <v>1</v>
      </c>
      <c r="C25" s="2" t="s">
        <v>0</v>
      </c>
      <c r="D25" s="3" t="s">
        <v>674</v>
      </c>
      <c r="E25" s="2"/>
      <c r="F25" s="3"/>
      <c r="G25" s="4" t="s">
        <v>7</v>
      </c>
      <c r="H25" s="3" t="s">
        <v>683</v>
      </c>
      <c r="I25" s="2" t="s">
        <v>0</v>
      </c>
      <c r="J25" s="23" t="s">
        <v>684</v>
      </c>
      <c r="K25" s="2" t="s">
        <v>0</v>
      </c>
      <c r="L25" s="1" t="s">
        <v>1</v>
      </c>
      <c r="M25" s="2" t="s">
        <v>0</v>
      </c>
      <c r="N25" s="3" t="s">
        <v>1</v>
      </c>
      <c r="O25" s="1" t="s">
        <v>694</v>
      </c>
      <c r="P25" s="1" t="s">
        <v>4</v>
      </c>
    </row>
    <row r="26" spans="1:16" ht="24" customHeight="1" x14ac:dyDescent="0.25">
      <c r="A26" s="1" t="s">
        <v>35</v>
      </c>
      <c r="B26" s="1" t="s">
        <v>1</v>
      </c>
      <c r="C26" s="2" t="s">
        <v>0</v>
      </c>
      <c r="D26" s="3" t="s">
        <v>675</v>
      </c>
      <c r="E26" s="2" t="s">
        <v>0</v>
      </c>
      <c r="F26" s="3" t="s">
        <v>687</v>
      </c>
      <c r="G26" s="4" t="s">
        <v>7</v>
      </c>
      <c r="H26" s="5"/>
      <c r="I26" s="4"/>
      <c r="J26" s="1" t="s">
        <v>636</v>
      </c>
      <c r="K26" s="2" t="s">
        <v>0</v>
      </c>
      <c r="L26" s="3" t="s">
        <v>687</v>
      </c>
      <c r="M26" s="2"/>
      <c r="N26" s="3"/>
      <c r="O26" s="1" t="s">
        <v>705</v>
      </c>
      <c r="P26" s="24" t="s">
        <v>690</v>
      </c>
    </row>
    <row r="27" spans="1:16" ht="24" customHeight="1" x14ac:dyDescent="0.25">
      <c r="A27" s="1" t="s">
        <v>36</v>
      </c>
      <c r="B27" s="1" t="s">
        <v>1</v>
      </c>
      <c r="C27" s="2" t="s">
        <v>0</v>
      </c>
      <c r="D27" s="22" t="s">
        <v>644</v>
      </c>
      <c r="E27" s="2"/>
      <c r="F27" s="3"/>
      <c r="G27" s="4" t="s">
        <v>7</v>
      </c>
      <c r="H27" s="5"/>
      <c r="I27" s="4"/>
      <c r="J27" s="1" t="s">
        <v>636</v>
      </c>
      <c r="K27" s="2" t="s">
        <v>0</v>
      </c>
      <c r="L27" s="1" t="s">
        <v>636</v>
      </c>
      <c r="M27" s="2"/>
      <c r="N27" s="3"/>
      <c r="O27" s="1" t="s">
        <v>706</v>
      </c>
      <c r="P27" s="24" t="s">
        <v>690</v>
      </c>
    </row>
    <row r="28" spans="1:16" ht="24" customHeight="1" x14ac:dyDescent="0.25">
      <c r="A28" s="1" t="s">
        <v>37</v>
      </c>
      <c r="B28" s="1" t="s">
        <v>1</v>
      </c>
      <c r="C28" s="2" t="s">
        <v>0</v>
      </c>
      <c r="D28" s="22" t="s">
        <v>644</v>
      </c>
      <c r="E28" s="2"/>
      <c r="F28" s="3"/>
      <c r="G28" s="4" t="s">
        <v>7</v>
      </c>
      <c r="H28" s="5"/>
      <c r="I28" s="4"/>
      <c r="J28" s="1" t="s">
        <v>9</v>
      </c>
      <c r="K28" s="2" t="s">
        <v>0</v>
      </c>
      <c r="L28" s="1" t="s">
        <v>636</v>
      </c>
      <c r="M28" s="2"/>
      <c r="N28" s="3"/>
      <c r="O28" s="1" t="s">
        <v>707</v>
      </c>
      <c r="P28" s="24" t="s">
        <v>690</v>
      </c>
    </row>
    <row r="29" spans="1:16" ht="24" customHeight="1" x14ac:dyDescent="0.25">
      <c r="A29" s="1" t="s">
        <v>38</v>
      </c>
      <c r="B29" s="1" t="s">
        <v>1</v>
      </c>
      <c r="C29" s="2" t="s">
        <v>0</v>
      </c>
      <c r="D29" s="22" t="s">
        <v>644</v>
      </c>
      <c r="E29" s="2" t="s">
        <v>0</v>
      </c>
      <c r="F29" s="3" t="s">
        <v>687</v>
      </c>
      <c r="G29" s="4" t="s">
        <v>7</v>
      </c>
      <c r="H29" s="5"/>
      <c r="I29" s="4"/>
      <c r="J29" s="3" t="s">
        <v>3</v>
      </c>
      <c r="K29" s="2" t="s">
        <v>0</v>
      </c>
      <c r="L29" s="1" t="s">
        <v>636</v>
      </c>
      <c r="M29" s="2"/>
      <c r="N29" s="3"/>
      <c r="O29" s="1" t="s">
        <v>705</v>
      </c>
      <c r="P29" s="24" t="s">
        <v>690</v>
      </c>
    </row>
    <row r="30" spans="1:16" ht="24" customHeight="1" x14ac:dyDescent="0.25">
      <c r="A30" s="1" t="s">
        <v>39</v>
      </c>
      <c r="B30" s="1" t="s">
        <v>1</v>
      </c>
      <c r="C30" s="2" t="s">
        <v>0</v>
      </c>
      <c r="D30" s="22" t="s">
        <v>676</v>
      </c>
      <c r="E30" s="2"/>
      <c r="F30" s="3"/>
      <c r="G30" s="4" t="s">
        <v>7</v>
      </c>
      <c r="H30" s="5"/>
      <c r="I30" s="4"/>
      <c r="J30" s="3" t="s">
        <v>3</v>
      </c>
      <c r="K30" s="2" t="s">
        <v>0</v>
      </c>
      <c r="L30" s="1" t="s">
        <v>636</v>
      </c>
      <c r="M30" s="2"/>
      <c r="N30" s="3"/>
      <c r="O30" s="1" t="s">
        <v>708</v>
      </c>
      <c r="P30" s="24" t="s">
        <v>691</v>
      </c>
    </row>
    <row r="31" spans="1:16" ht="24" customHeight="1" x14ac:dyDescent="0.25">
      <c r="A31" s="1" t="s">
        <v>40</v>
      </c>
      <c r="B31" s="1" t="s">
        <v>1</v>
      </c>
      <c r="C31" s="2" t="s">
        <v>0</v>
      </c>
      <c r="D31" s="22" t="s">
        <v>677</v>
      </c>
      <c r="E31" s="2"/>
      <c r="F31" s="3"/>
      <c r="G31" s="4" t="s">
        <v>7</v>
      </c>
      <c r="H31" s="5"/>
      <c r="I31" s="4"/>
      <c r="J31" s="3" t="s">
        <v>3</v>
      </c>
      <c r="K31" s="2" t="s">
        <v>0</v>
      </c>
      <c r="L31" s="3" t="s">
        <v>3</v>
      </c>
      <c r="M31" s="2"/>
      <c r="N31" s="3"/>
      <c r="O31" s="1" t="s">
        <v>709</v>
      </c>
      <c r="P31" s="24" t="s">
        <v>691</v>
      </c>
    </row>
    <row r="32" spans="1:16" ht="24" customHeight="1" x14ac:dyDescent="0.25">
      <c r="A32" s="1" t="s">
        <v>41</v>
      </c>
      <c r="B32" s="1" t="s">
        <v>1</v>
      </c>
      <c r="C32" s="2" t="s">
        <v>0</v>
      </c>
      <c r="D32" s="3" t="s">
        <v>678</v>
      </c>
      <c r="E32" s="2" t="s">
        <v>0</v>
      </c>
      <c r="F32" s="3" t="s">
        <v>687</v>
      </c>
      <c r="G32" s="4" t="s">
        <v>7</v>
      </c>
      <c r="H32" s="5"/>
      <c r="I32" s="4"/>
      <c r="J32" s="1" t="s">
        <v>639</v>
      </c>
      <c r="K32" s="2" t="s">
        <v>0</v>
      </c>
      <c r="L32" s="3" t="s">
        <v>687</v>
      </c>
      <c r="M32" s="2"/>
      <c r="N32" s="3"/>
      <c r="O32" s="1" t="s">
        <v>705</v>
      </c>
      <c r="P32" s="24" t="s">
        <v>690</v>
      </c>
    </row>
    <row r="33" spans="1:16" ht="24" customHeight="1" x14ac:dyDescent="0.25">
      <c r="A33" s="1" t="s">
        <v>42</v>
      </c>
      <c r="B33" s="1" t="s">
        <v>1</v>
      </c>
      <c r="C33" s="2" t="s">
        <v>0</v>
      </c>
      <c r="D33" s="22" t="s">
        <v>648</v>
      </c>
      <c r="E33" s="2"/>
      <c r="F33" s="3"/>
      <c r="G33" s="4" t="s">
        <v>7</v>
      </c>
      <c r="H33" s="5"/>
      <c r="I33" s="4"/>
      <c r="J33" s="1" t="s">
        <v>639</v>
      </c>
      <c r="K33" s="2" t="s">
        <v>0</v>
      </c>
      <c r="L33" s="1" t="s">
        <v>639</v>
      </c>
      <c r="M33" s="2"/>
      <c r="N33" s="3"/>
      <c r="O33" s="1" t="s">
        <v>710</v>
      </c>
      <c r="P33" s="24" t="s">
        <v>691</v>
      </c>
    </row>
    <row r="34" spans="1:16" ht="24" customHeight="1" x14ac:dyDescent="0.25">
      <c r="A34" s="1" t="s">
        <v>43</v>
      </c>
      <c r="B34" s="1" t="s">
        <v>1</v>
      </c>
      <c r="C34" s="2" t="s">
        <v>0</v>
      </c>
      <c r="D34" s="22" t="s">
        <v>648</v>
      </c>
      <c r="E34" s="2"/>
      <c r="F34" s="3"/>
      <c r="G34" s="4" t="s">
        <v>7</v>
      </c>
      <c r="H34" s="5"/>
      <c r="I34" s="4"/>
      <c r="J34" s="1" t="s">
        <v>639</v>
      </c>
      <c r="K34" s="2" t="s">
        <v>0</v>
      </c>
      <c r="L34" s="1" t="s">
        <v>646</v>
      </c>
      <c r="M34" s="2"/>
      <c r="N34" s="3"/>
      <c r="O34" s="1" t="s">
        <v>711</v>
      </c>
      <c r="P34" s="24" t="s">
        <v>691</v>
      </c>
    </row>
    <row r="35" spans="1:16" ht="24" customHeight="1" x14ac:dyDescent="0.25">
      <c r="A35" s="1" t="s">
        <v>44</v>
      </c>
      <c r="B35" s="1" t="s">
        <v>1</v>
      </c>
      <c r="C35" s="2" t="s">
        <v>0</v>
      </c>
      <c r="D35" s="22" t="s">
        <v>648</v>
      </c>
      <c r="E35" s="2" t="s">
        <v>0</v>
      </c>
      <c r="F35" s="3" t="s">
        <v>687</v>
      </c>
      <c r="G35" s="4" t="s">
        <v>7</v>
      </c>
      <c r="H35" s="5"/>
      <c r="I35" s="4"/>
      <c r="J35" s="22" t="s">
        <v>649</v>
      </c>
      <c r="K35" s="2" t="s">
        <v>0</v>
      </c>
      <c r="L35" s="1" t="s">
        <v>687</v>
      </c>
      <c r="M35" s="2"/>
      <c r="N35" s="3"/>
      <c r="O35" s="1" t="s">
        <v>705</v>
      </c>
      <c r="P35" s="24" t="s">
        <v>690</v>
      </c>
    </row>
    <row r="36" spans="1:16" ht="24" customHeight="1" x14ac:dyDescent="0.25">
      <c r="A36" s="1" t="s">
        <v>45</v>
      </c>
      <c r="B36" s="1" t="s">
        <v>1</v>
      </c>
      <c r="C36" s="2" t="s">
        <v>0</v>
      </c>
      <c r="D36" s="22" t="s">
        <v>679</v>
      </c>
      <c r="E36" s="2"/>
      <c r="F36" s="3"/>
      <c r="G36" s="4" t="s">
        <v>7</v>
      </c>
      <c r="H36" s="5"/>
      <c r="I36" s="4"/>
      <c r="J36" s="22" t="s">
        <v>649</v>
      </c>
      <c r="K36" s="2" t="s">
        <v>0</v>
      </c>
      <c r="L36" s="22" t="s">
        <v>649</v>
      </c>
      <c r="M36" s="2"/>
      <c r="N36" s="3"/>
      <c r="O36" s="1" t="s">
        <v>712</v>
      </c>
      <c r="P36" s="24" t="s">
        <v>691</v>
      </c>
    </row>
    <row r="37" spans="1:16" ht="24" customHeight="1" x14ac:dyDescent="0.25">
      <c r="A37" s="1" t="s">
        <v>46</v>
      </c>
      <c r="B37" s="1" t="s">
        <v>1</v>
      </c>
      <c r="C37" s="2" t="s">
        <v>0</v>
      </c>
      <c r="D37" s="3" t="s">
        <v>680</v>
      </c>
      <c r="E37" s="2"/>
      <c r="F37" s="3"/>
      <c r="G37" s="4" t="s">
        <v>7</v>
      </c>
      <c r="H37" s="5"/>
      <c r="I37" s="4"/>
      <c r="J37" s="3" t="s">
        <v>689</v>
      </c>
      <c r="K37" s="2" t="s">
        <v>0</v>
      </c>
      <c r="L37" s="1" t="s">
        <v>639</v>
      </c>
      <c r="M37" s="2"/>
      <c r="N37" s="3"/>
      <c r="O37" s="1" t="s">
        <v>708</v>
      </c>
      <c r="P37" s="24" t="s">
        <v>691</v>
      </c>
    </row>
    <row r="38" spans="1:16" ht="24" customHeight="1" x14ac:dyDescent="0.25">
      <c r="A38" s="1" t="s">
        <v>47</v>
      </c>
      <c r="B38" s="1" t="s">
        <v>1</v>
      </c>
      <c r="C38" s="2" t="s">
        <v>0</v>
      </c>
      <c r="D38" s="3" t="s">
        <v>681</v>
      </c>
      <c r="E38" s="2"/>
      <c r="F38" s="3"/>
      <c r="G38" s="4" t="s">
        <v>7</v>
      </c>
      <c r="H38" s="5"/>
      <c r="I38" s="4"/>
      <c r="J38" s="1" t="s">
        <v>636</v>
      </c>
      <c r="K38" s="2" t="s">
        <v>0</v>
      </c>
      <c r="L38" s="1" t="s">
        <v>639</v>
      </c>
      <c r="M38" s="2"/>
      <c r="N38" s="3"/>
      <c r="O38" s="1" t="s">
        <v>713</v>
      </c>
      <c r="P38" s="24" t="s">
        <v>691</v>
      </c>
    </row>
    <row r="39" spans="1:16" ht="24" customHeight="1" x14ac:dyDescent="0.25">
      <c r="A39" s="1" t="s">
        <v>48</v>
      </c>
      <c r="B39" s="1" t="s">
        <v>1</v>
      </c>
      <c r="C39" s="2" t="s">
        <v>0</v>
      </c>
      <c r="D39" s="3" t="s">
        <v>681</v>
      </c>
      <c r="E39" s="2"/>
      <c r="F39" s="3"/>
      <c r="G39" s="4" t="s">
        <v>7</v>
      </c>
      <c r="H39" s="5"/>
      <c r="I39" s="4"/>
      <c r="J39" s="1" t="s">
        <v>9</v>
      </c>
      <c r="K39" s="2" t="s">
        <v>0</v>
      </c>
      <c r="L39" s="1" t="s">
        <v>639</v>
      </c>
      <c r="M39" s="2"/>
      <c r="N39" s="3"/>
      <c r="O39" s="1" t="s">
        <v>714</v>
      </c>
      <c r="P39" s="24" t="s">
        <v>691</v>
      </c>
    </row>
    <row r="40" spans="1:16" ht="24" customHeight="1" x14ac:dyDescent="0.25">
      <c r="A40" s="1" t="s">
        <v>49</v>
      </c>
      <c r="B40" s="1" t="s">
        <v>1</v>
      </c>
      <c r="C40" s="2" t="s">
        <v>0</v>
      </c>
      <c r="D40" s="3" t="s">
        <v>681</v>
      </c>
      <c r="E40" s="2" t="s">
        <v>0</v>
      </c>
      <c r="F40" s="3" t="s">
        <v>687</v>
      </c>
      <c r="G40" s="4" t="s">
        <v>7</v>
      </c>
      <c r="H40" s="5"/>
      <c r="I40" s="4"/>
      <c r="J40" s="1" t="s">
        <v>688</v>
      </c>
      <c r="K40" s="2" t="s">
        <v>0</v>
      </c>
      <c r="L40" s="1" t="s">
        <v>687</v>
      </c>
      <c r="M40" s="2"/>
      <c r="N40" s="3"/>
      <c r="O40" s="1" t="s">
        <v>705</v>
      </c>
      <c r="P40" s="24" t="s">
        <v>690</v>
      </c>
    </row>
    <row r="41" spans="1:16" ht="24" customHeight="1" x14ac:dyDescent="0.25">
      <c r="A41" s="1" t="s">
        <v>50</v>
      </c>
      <c r="B41" s="1" t="s">
        <v>1</v>
      </c>
      <c r="C41" s="2" t="s">
        <v>0</v>
      </c>
      <c r="D41" s="22" t="s">
        <v>683</v>
      </c>
      <c r="E41" s="2"/>
      <c r="F41" s="3"/>
      <c r="G41" s="4" t="s">
        <v>7</v>
      </c>
      <c r="H41" s="5"/>
      <c r="I41" s="4"/>
      <c r="J41" s="1" t="s">
        <v>688</v>
      </c>
      <c r="K41" s="2" t="s">
        <v>0</v>
      </c>
      <c r="L41" s="1" t="s">
        <v>639</v>
      </c>
      <c r="M41" s="2"/>
      <c r="N41" s="3"/>
      <c r="O41" s="1" t="s">
        <v>708</v>
      </c>
      <c r="P41" s="24" t="s">
        <v>691</v>
      </c>
    </row>
    <row r="42" spans="1:16" ht="24" customHeight="1" x14ac:dyDescent="0.25">
      <c r="A42" s="1" t="s">
        <v>51</v>
      </c>
      <c r="B42" s="1" t="s">
        <v>1</v>
      </c>
      <c r="C42" s="2" t="s">
        <v>0</v>
      </c>
      <c r="D42" s="22" t="s">
        <v>682</v>
      </c>
      <c r="E42" s="2"/>
      <c r="F42" s="3"/>
      <c r="G42" s="4" t="s">
        <v>7</v>
      </c>
      <c r="H42" s="5"/>
      <c r="I42" s="4"/>
      <c r="J42" s="1" t="s">
        <v>653</v>
      </c>
      <c r="K42" s="2" t="s">
        <v>0</v>
      </c>
      <c r="L42" s="1" t="s">
        <v>653</v>
      </c>
      <c r="M42" s="2"/>
      <c r="N42" s="3"/>
      <c r="O42" s="1" t="s">
        <v>715</v>
      </c>
      <c r="P42" s="24" t="s">
        <v>702</v>
      </c>
    </row>
    <row r="43" spans="1:16" ht="24" customHeight="1" x14ac:dyDescent="0.25">
      <c r="A43" s="1" t="s">
        <v>52</v>
      </c>
      <c r="B43" s="1" t="s">
        <v>1</v>
      </c>
      <c r="C43" s="2" t="s">
        <v>0</v>
      </c>
      <c r="D43" s="22" t="s">
        <v>695</v>
      </c>
      <c r="E43" s="2"/>
      <c r="F43" s="3"/>
      <c r="G43" s="1" t="s">
        <v>7</v>
      </c>
      <c r="H43" s="1"/>
      <c r="I43" s="4"/>
      <c r="J43" s="1" t="s">
        <v>653</v>
      </c>
      <c r="K43" s="2" t="s">
        <v>0</v>
      </c>
      <c r="L43" s="22" t="s">
        <v>699</v>
      </c>
      <c r="M43" s="2"/>
      <c r="N43" s="3"/>
      <c r="O43" s="1" t="s">
        <v>716</v>
      </c>
      <c r="P43" s="24" t="s">
        <v>691</v>
      </c>
    </row>
    <row r="44" spans="1:16" ht="24" customHeight="1" x14ac:dyDescent="0.25">
      <c r="A44" s="1" t="s">
        <v>53</v>
      </c>
      <c r="B44" s="1" t="s">
        <v>1</v>
      </c>
      <c r="C44" s="2" t="s">
        <v>0</v>
      </c>
      <c r="D44" s="22" t="s">
        <v>695</v>
      </c>
      <c r="E44" s="2"/>
      <c r="F44" s="3"/>
      <c r="G44" s="4" t="s">
        <v>7</v>
      </c>
      <c r="H44" s="5"/>
      <c r="I44" s="4"/>
      <c r="J44" s="1" t="s">
        <v>653</v>
      </c>
      <c r="K44" s="2" t="s">
        <v>0</v>
      </c>
      <c r="L44" s="1" t="s">
        <v>653</v>
      </c>
      <c r="M44" s="2" t="s">
        <v>0</v>
      </c>
      <c r="N44" s="3" t="s">
        <v>653</v>
      </c>
      <c r="O44" s="1" t="s">
        <v>717</v>
      </c>
      <c r="P44" s="24" t="s">
        <v>691</v>
      </c>
    </row>
    <row r="45" spans="1:16" ht="24" customHeight="1" x14ac:dyDescent="0.25">
      <c r="A45" s="1" t="s">
        <v>54</v>
      </c>
      <c r="B45" s="1" t="s">
        <v>1</v>
      </c>
      <c r="C45" s="2" t="s">
        <v>0</v>
      </c>
      <c r="D45" s="3" t="s">
        <v>696</v>
      </c>
      <c r="E45" s="2"/>
      <c r="F45" s="3"/>
      <c r="G45" s="4" t="s">
        <v>7</v>
      </c>
      <c r="H45" s="5"/>
      <c r="I45" s="4"/>
      <c r="J45" s="1" t="s">
        <v>654</v>
      </c>
      <c r="K45" s="2" t="s">
        <v>0</v>
      </c>
      <c r="L45" s="1" t="s">
        <v>653</v>
      </c>
      <c r="M45" s="2"/>
      <c r="N45" s="3"/>
      <c r="O45" s="1" t="s">
        <v>718</v>
      </c>
      <c r="P45" s="24" t="s">
        <v>702</v>
      </c>
    </row>
    <row r="46" spans="1:16" ht="24" customHeight="1" x14ac:dyDescent="0.25">
      <c r="A46" s="1" t="s">
        <v>55</v>
      </c>
      <c r="B46" s="1" t="s">
        <v>1</v>
      </c>
      <c r="C46" s="2" t="s">
        <v>0</v>
      </c>
      <c r="D46" s="3" t="s">
        <v>696</v>
      </c>
      <c r="E46" s="2"/>
      <c r="F46" s="3"/>
      <c r="G46" s="4" t="s">
        <v>7</v>
      </c>
      <c r="H46" s="5"/>
      <c r="I46" s="4"/>
      <c r="J46" s="1" t="s">
        <v>639</v>
      </c>
      <c r="K46" s="2" t="s">
        <v>0</v>
      </c>
      <c r="L46" s="22" t="s">
        <v>699</v>
      </c>
      <c r="M46" s="2"/>
      <c r="N46" s="3"/>
      <c r="O46" s="1" t="s">
        <v>719</v>
      </c>
      <c r="P46" s="24" t="s">
        <v>702</v>
      </c>
    </row>
    <row r="47" spans="1:16" ht="24" customHeight="1" x14ac:dyDescent="0.25">
      <c r="A47" s="1" t="s">
        <v>56</v>
      </c>
      <c r="B47" s="1" t="s">
        <v>1</v>
      </c>
      <c r="C47" s="2" t="s">
        <v>0</v>
      </c>
      <c r="D47" s="3" t="s">
        <v>696</v>
      </c>
      <c r="E47" s="2"/>
      <c r="F47" s="3"/>
      <c r="G47" s="4" t="s">
        <v>7</v>
      </c>
      <c r="H47" s="5"/>
      <c r="I47" s="4"/>
      <c r="J47" s="1" t="s">
        <v>639</v>
      </c>
      <c r="K47" s="2" t="s">
        <v>0</v>
      </c>
      <c r="L47" s="1" t="s">
        <v>653</v>
      </c>
      <c r="M47" s="2" t="s">
        <v>0</v>
      </c>
      <c r="N47" s="3" t="s">
        <v>653</v>
      </c>
      <c r="O47" s="1" t="s">
        <v>719</v>
      </c>
      <c r="P47" s="24" t="s">
        <v>702</v>
      </c>
    </row>
    <row r="48" spans="1:16" ht="24" customHeight="1" x14ac:dyDescent="0.25">
      <c r="A48" s="1" t="s">
        <v>57</v>
      </c>
      <c r="B48" s="1" t="s">
        <v>1</v>
      </c>
      <c r="C48" s="2" t="s">
        <v>0</v>
      </c>
      <c r="D48" s="3" t="s">
        <v>697</v>
      </c>
      <c r="E48" s="2"/>
      <c r="F48" s="3"/>
      <c r="G48" s="4" t="s">
        <v>7</v>
      </c>
      <c r="H48" s="5"/>
      <c r="I48" s="4"/>
      <c r="J48" s="1" t="s">
        <v>654</v>
      </c>
      <c r="K48" s="2" t="s">
        <v>0</v>
      </c>
      <c r="L48" s="1" t="s">
        <v>653</v>
      </c>
      <c r="M48" s="2" t="s">
        <v>0</v>
      </c>
      <c r="N48" s="3" t="s">
        <v>653</v>
      </c>
      <c r="O48" s="1" t="s">
        <v>720</v>
      </c>
      <c r="P48" s="24" t="s">
        <v>702</v>
      </c>
    </row>
    <row r="49" spans="1:16" ht="24" customHeight="1" x14ac:dyDescent="0.25">
      <c r="A49" s="1" t="s">
        <v>58</v>
      </c>
      <c r="B49" s="1" t="s">
        <v>1</v>
      </c>
      <c r="C49" s="2" t="s">
        <v>0</v>
      </c>
      <c r="D49" s="1" t="s">
        <v>1</v>
      </c>
      <c r="E49" s="2" t="s">
        <v>0</v>
      </c>
      <c r="F49" s="22" t="s">
        <v>675</v>
      </c>
      <c r="G49" s="4" t="s">
        <v>7</v>
      </c>
      <c r="H49" s="5"/>
      <c r="I49" s="4"/>
      <c r="J49" s="1" t="s">
        <v>636</v>
      </c>
      <c r="K49" s="2" t="s">
        <v>0</v>
      </c>
      <c r="L49" s="1" t="s">
        <v>1</v>
      </c>
      <c r="M49" s="2"/>
      <c r="N49" s="3"/>
      <c r="O49" s="1" t="s">
        <v>721</v>
      </c>
      <c r="P49" s="24" t="s">
        <v>690</v>
      </c>
    </row>
    <row r="50" spans="1:16" ht="24" customHeight="1" x14ac:dyDescent="0.25">
      <c r="A50" s="1" t="s">
        <v>59</v>
      </c>
      <c r="B50" s="1" t="s">
        <v>1</v>
      </c>
      <c r="C50" s="2" t="s">
        <v>0</v>
      </c>
      <c r="D50" s="1" t="s">
        <v>1</v>
      </c>
      <c r="E50" s="2" t="s">
        <v>0</v>
      </c>
      <c r="F50" s="22" t="s">
        <v>644</v>
      </c>
      <c r="G50" s="4" t="s">
        <v>7</v>
      </c>
      <c r="H50" s="5"/>
      <c r="I50" s="4"/>
      <c r="J50" s="22" t="s">
        <v>689</v>
      </c>
      <c r="K50" s="2" t="s">
        <v>0</v>
      </c>
      <c r="L50" s="1" t="s">
        <v>1</v>
      </c>
      <c r="M50" s="2"/>
      <c r="N50" s="3"/>
      <c r="O50" s="1" t="s">
        <v>721</v>
      </c>
      <c r="P50" s="24" t="s">
        <v>690</v>
      </c>
    </row>
    <row r="51" spans="1:16" ht="24" customHeight="1" x14ac:dyDescent="0.25">
      <c r="A51" s="1" t="s">
        <v>60</v>
      </c>
      <c r="B51" s="1" t="s">
        <v>1</v>
      </c>
      <c r="C51" s="2" t="s">
        <v>0</v>
      </c>
      <c r="D51" s="1" t="s">
        <v>1</v>
      </c>
      <c r="E51" s="2" t="s">
        <v>0</v>
      </c>
      <c r="F51" s="22" t="s">
        <v>678</v>
      </c>
      <c r="G51" s="4" t="s">
        <v>7</v>
      </c>
      <c r="H51" s="5"/>
      <c r="I51" s="4"/>
      <c r="J51" s="1" t="s">
        <v>639</v>
      </c>
      <c r="K51" s="2" t="s">
        <v>0</v>
      </c>
      <c r="L51" s="1" t="s">
        <v>1</v>
      </c>
      <c r="M51" s="2"/>
      <c r="N51" s="3"/>
      <c r="O51" s="1" t="s">
        <v>721</v>
      </c>
      <c r="P51" s="24" t="s">
        <v>690</v>
      </c>
    </row>
    <row r="52" spans="1:16" ht="24" customHeight="1" x14ac:dyDescent="0.25">
      <c r="A52" s="1" t="s">
        <v>61</v>
      </c>
      <c r="B52" s="1" t="s">
        <v>1</v>
      </c>
      <c r="C52" s="2" t="s">
        <v>0</v>
      </c>
      <c r="D52" s="1" t="s">
        <v>1</v>
      </c>
      <c r="E52" s="2" t="s">
        <v>0</v>
      </c>
      <c r="F52" s="22" t="s">
        <v>648</v>
      </c>
      <c r="G52" s="4" t="s">
        <v>7</v>
      </c>
      <c r="H52" s="5"/>
      <c r="I52" s="4"/>
      <c r="J52" s="22" t="s">
        <v>649</v>
      </c>
      <c r="K52" s="2" t="s">
        <v>0</v>
      </c>
      <c r="L52" s="1" t="s">
        <v>1</v>
      </c>
      <c r="M52" s="2"/>
      <c r="N52" s="3"/>
      <c r="O52" s="1" t="s">
        <v>721</v>
      </c>
      <c r="P52" s="24" t="s">
        <v>690</v>
      </c>
    </row>
    <row r="53" spans="1:16" ht="24" customHeight="1" x14ac:dyDescent="0.25">
      <c r="A53" s="1" t="s">
        <v>62</v>
      </c>
      <c r="B53" s="1" t="s">
        <v>1</v>
      </c>
      <c r="C53" s="2" t="s">
        <v>0</v>
      </c>
      <c r="D53" s="1" t="s">
        <v>1</v>
      </c>
      <c r="E53" s="2" t="s">
        <v>0</v>
      </c>
      <c r="F53" s="22" t="s">
        <v>698</v>
      </c>
      <c r="G53" s="4" t="s">
        <v>7</v>
      </c>
      <c r="H53" s="5"/>
      <c r="I53" s="4"/>
      <c r="J53" s="22" t="s">
        <v>688</v>
      </c>
      <c r="K53" s="2" t="s">
        <v>0</v>
      </c>
      <c r="L53" s="1" t="s">
        <v>1</v>
      </c>
      <c r="M53" s="2"/>
      <c r="N53" s="3"/>
      <c r="O53" s="1" t="s">
        <v>721</v>
      </c>
      <c r="P53" s="24" t="s">
        <v>690</v>
      </c>
    </row>
    <row r="54" spans="1:16" ht="24" customHeight="1" x14ac:dyDescent="0.25">
      <c r="A54" s="1" t="s">
        <v>63</v>
      </c>
      <c r="B54" s="1" t="s">
        <v>1</v>
      </c>
      <c r="C54" s="2" t="s">
        <v>0</v>
      </c>
      <c r="D54" s="1" t="s">
        <v>1</v>
      </c>
      <c r="E54" s="2" t="s">
        <v>0</v>
      </c>
      <c r="F54" s="22" t="s">
        <v>685</v>
      </c>
      <c r="G54" s="4" t="s">
        <v>7</v>
      </c>
      <c r="H54" s="5"/>
      <c r="I54" s="4"/>
      <c r="J54" s="22" t="s">
        <v>653</v>
      </c>
      <c r="K54" s="2" t="s">
        <v>0</v>
      </c>
      <c r="L54" s="1" t="s">
        <v>1</v>
      </c>
      <c r="M54" s="2"/>
      <c r="N54" s="3"/>
      <c r="O54" s="1" t="s">
        <v>721</v>
      </c>
      <c r="P54" s="24" t="s">
        <v>703</v>
      </c>
    </row>
    <row r="55" spans="1:16" ht="24" customHeight="1" x14ac:dyDescent="0.25">
      <c r="A55" s="1" t="s">
        <v>64</v>
      </c>
      <c r="B55" s="1" t="s">
        <v>1</v>
      </c>
      <c r="C55" s="2" t="s">
        <v>0</v>
      </c>
      <c r="D55" s="1" t="s">
        <v>1</v>
      </c>
      <c r="E55" s="2" t="s">
        <v>0</v>
      </c>
      <c r="F55" s="22" t="s">
        <v>682</v>
      </c>
      <c r="G55" s="4" t="s">
        <v>7</v>
      </c>
      <c r="H55" s="5"/>
      <c r="I55" s="4"/>
      <c r="J55" s="22" t="s">
        <v>699</v>
      </c>
      <c r="K55" s="2" t="s">
        <v>0</v>
      </c>
      <c r="L55" s="1" t="s">
        <v>1</v>
      </c>
      <c r="M55" s="2"/>
      <c r="N55" s="3"/>
      <c r="O55" s="1" t="s">
        <v>721</v>
      </c>
      <c r="P55" s="24" t="s">
        <v>703</v>
      </c>
    </row>
    <row r="56" spans="1:16" ht="24" customHeight="1" x14ac:dyDescent="0.25">
      <c r="A56" s="1" t="s">
        <v>65</v>
      </c>
      <c r="B56" s="1" t="s">
        <v>1</v>
      </c>
      <c r="C56" s="2" t="s">
        <v>0</v>
      </c>
      <c r="D56" s="1" t="s">
        <v>1</v>
      </c>
      <c r="E56" s="2" t="s">
        <v>0</v>
      </c>
      <c r="F56" s="22" t="s">
        <v>652</v>
      </c>
      <c r="G56" s="4" t="s">
        <v>7</v>
      </c>
      <c r="H56" s="5"/>
      <c r="I56" s="4"/>
      <c r="J56" s="22" t="s">
        <v>654</v>
      </c>
      <c r="K56" s="2" t="s">
        <v>0</v>
      </c>
      <c r="L56" s="1" t="s">
        <v>1</v>
      </c>
      <c r="M56" s="2"/>
      <c r="N56" s="3"/>
      <c r="O56" s="1" t="s">
        <v>721</v>
      </c>
      <c r="P56" s="24" t="s">
        <v>703</v>
      </c>
    </row>
    <row r="57" spans="1:16" ht="24" customHeight="1" x14ac:dyDescent="0.25">
      <c r="A57" s="1" t="s">
        <v>66</v>
      </c>
      <c r="B57" s="1" t="s">
        <v>1</v>
      </c>
      <c r="C57" s="2" t="s">
        <v>0</v>
      </c>
      <c r="D57" s="1" t="s">
        <v>1</v>
      </c>
      <c r="E57" s="2" t="s">
        <v>0</v>
      </c>
      <c r="F57" s="3" t="s">
        <v>696</v>
      </c>
      <c r="G57" s="4" t="s">
        <v>7</v>
      </c>
      <c r="H57" s="5"/>
      <c r="I57" s="4"/>
      <c r="J57" s="3" t="s">
        <v>696</v>
      </c>
      <c r="K57" s="2" t="s">
        <v>0</v>
      </c>
      <c r="L57" s="1" t="s">
        <v>1</v>
      </c>
      <c r="M57" s="2"/>
      <c r="N57" s="3"/>
      <c r="O57" s="1" t="s">
        <v>721</v>
      </c>
      <c r="P57" s="24" t="s">
        <v>703</v>
      </c>
    </row>
    <row r="58" spans="1:16" ht="24" customHeight="1" x14ac:dyDescent="0.25">
      <c r="A58" s="1" t="s">
        <v>67</v>
      </c>
      <c r="B58" s="1" t="s">
        <v>1</v>
      </c>
      <c r="C58" s="2" t="s">
        <v>0</v>
      </c>
      <c r="D58" s="1" t="s">
        <v>639</v>
      </c>
      <c r="E58" s="2" t="s">
        <v>0</v>
      </c>
      <c r="F58" s="22" t="s">
        <v>649</v>
      </c>
      <c r="G58" s="4" t="s">
        <v>7</v>
      </c>
      <c r="H58" s="5"/>
      <c r="I58" s="4"/>
      <c r="J58" s="22" t="s">
        <v>700</v>
      </c>
      <c r="K58" s="2" t="s">
        <v>0</v>
      </c>
      <c r="L58" s="22" t="s">
        <v>649</v>
      </c>
      <c r="M58" s="2"/>
      <c r="N58" s="3"/>
      <c r="O58" s="1" t="s">
        <v>722</v>
      </c>
      <c r="P58" s="24" t="s">
        <v>691</v>
      </c>
    </row>
    <row r="59" spans="1:16" ht="24" customHeight="1" x14ac:dyDescent="0.25">
      <c r="A59" s="1" t="s">
        <v>68</v>
      </c>
      <c r="B59" s="1" t="s">
        <v>1</v>
      </c>
      <c r="C59" s="2" t="s">
        <v>0</v>
      </c>
      <c r="D59" s="1" t="s">
        <v>639</v>
      </c>
      <c r="E59" s="2" t="s">
        <v>0</v>
      </c>
      <c r="F59" s="22" t="s">
        <v>649</v>
      </c>
      <c r="G59" s="4" t="s">
        <v>7</v>
      </c>
      <c r="H59" s="5"/>
      <c r="I59" s="4"/>
      <c r="J59" s="22" t="s">
        <v>701</v>
      </c>
      <c r="K59" s="2" t="s">
        <v>0</v>
      </c>
      <c r="L59" s="22" t="s">
        <v>639</v>
      </c>
      <c r="M59" s="2"/>
      <c r="N59" s="3"/>
      <c r="O59" s="1" t="s">
        <v>722</v>
      </c>
      <c r="P59" s="24" t="s">
        <v>691</v>
      </c>
    </row>
    <row r="60" spans="1:16" ht="24" customHeight="1" x14ac:dyDescent="0.25">
      <c r="A60" s="1" t="s">
        <v>69</v>
      </c>
      <c r="B60" s="1" t="s">
        <v>1</v>
      </c>
      <c r="C60" s="2" t="s">
        <v>0</v>
      </c>
      <c r="D60" s="22" t="s">
        <v>649</v>
      </c>
      <c r="E60" s="2" t="s">
        <v>0</v>
      </c>
      <c r="F60" s="22" t="s">
        <v>649</v>
      </c>
      <c r="G60" s="4" t="s">
        <v>7</v>
      </c>
      <c r="H60" s="5"/>
      <c r="I60" s="4"/>
      <c r="J60" s="22" t="s">
        <v>701</v>
      </c>
      <c r="K60" s="2" t="s">
        <v>0</v>
      </c>
      <c r="L60" s="22" t="s">
        <v>649</v>
      </c>
      <c r="M60" s="2"/>
      <c r="N60" s="3"/>
      <c r="O60" s="1" t="s">
        <v>724</v>
      </c>
      <c r="P60" s="24" t="s">
        <v>704</v>
      </c>
    </row>
    <row r="61" spans="1:16" ht="24" customHeight="1" x14ac:dyDescent="0.25">
      <c r="A61" s="1" t="s">
        <v>70</v>
      </c>
      <c r="B61" s="1" t="s">
        <v>1</v>
      </c>
      <c r="C61" s="2" t="s">
        <v>0</v>
      </c>
      <c r="D61" s="22" t="s">
        <v>649</v>
      </c>
      <c r="E61" s="2" t="s">
        <v>0</v>
      </c>
      <c r="F61" s="22" t="s">
        <v>689</v>
      </c>
      <c r="G61" s="4" t="s">
        <v>7</v>
      </c>
      <c r="H61" s="5"/>
      <c r="I61" s="4"/>
      <c r="J61" s="22" t="s">
        <v>701</v>
      </c>
      <c r="K61" s="2" t="s">
        <v>0</v>
      </c>
      <c r="L61" s="22" t="s">
        <v>689</v>
      </c>
      <c r="M61" s="2"/>
      <c r="N61" s="3"/>
      <c r="O61" s="1" t="s">
        <v>725</v>
      </c>
      <c r="P61" s="24" t="s">
        <v>704</v>
      </c>
    </row>
    <row r="62" spans="1:16" ht="24" customHeight="1" x14ac:dyDescent="0.25">
      <c r="A62" s="1" t="s">
        <v>71</v>
      </c>
      <c r="B62" s="1" t="s">
        <v>1</v>
      </c>
      <c r="C62" s="2" t="s">
        <v>0</v>
      </c>
      <c r="D62" s="22" t="s">
        <v>649</v>
      </c>
      <c r="E62" s="2"/>
      <c r="F62" s="3"/>
      <c r="G62" s="4" t="s">
        <v>7</v>
      </c>
      <c r="H62" s="5"/>
      <c r="I62" s="4"/>
      <c r="J62" s="22" t="s">
        <v>700</v>
      </c>
      <c r="K62" s="2" t="s">
        <v>0</v>
      </c>
      <c r="L62" s="22" t="s">
        <v>639</v>
      </c>
      <c r="M62" s="2"/>
      <c r="N62" s="3"/>
      <c r="O62" s="1" t="s">
        <v>726</v>
      </c>
      <c r="P62" s="24" t="s">
        <v>4</v>
      </c>
    </row>
    <row r="63" spans="1:16" ht="34.5" x14ac:dyDescent="0.25">
      <c r="A63" s="1" t="s">
        <v>72</v>
      </c>
      <c r="B63" s="1" t="s">
        <v>1</v>
      </c>
      <c r="C63" s="2" t="s">
        <v>0</v>
      </c>
      <c r="D63" s="22" t="s">
        <v>649</v>
      </c>
      <c r="E63" s="2"/>
      <c r="F63" s="3"/>
      <c r="G63" s="4" t="s">
        <v>7</v>
      </c>
      <c r="H63" s="5"/>
      <c r="I63" s="4"/>
      <c r="J63" s="22" t="s">
        <v>701</v>
      </c>
      <c r="K63" s="2"/>
      <c r="L63" s="1"/>
      <c r="M63" s="2"/>
      <c r="N63" s="3"/>
      <c r="O63" s="6" t="s">
        <v>728</v>
      </c>
      <c r="P63" s="24" t="s">
        <v>4</v>
      </c>
    </row>
    <row r="64" spans="1:16" ht="24" customHeight="1" x14ac:dyDescent="0.25">
      <c r="A64" s="1" t="s">
        <v>73</v>
      </c>
      <c r="B64" s="1" t="s">
        <v>1</v>
      </c>
      <c r="C64" s="2" t="s">
        <v>0</v>
      </c>
      <c r="D64" s="22" t="s">
        <v>723</v>
      </c>
      <c r="E64" s="2"/>
      <c r="F64" s="3"/>
      <c r="G64" s="4" t="s">
        <v>7</v>
      </c>
      <c r="H64" s="5"/>
      <c r="I64" s="4"/>
      <c r="J64" s="22" t="s">
        <v>700</v>
      </c>
      <c r="K64" s="2" t="s">
        <v>0</v>
      </c>
      <c r="L64" s="22" t="s">
        <v>649</v>
      </c>
      <c r="M64" s="2"/>
      <c r="N64" s="3"/>
      <c r="O64" s="1" t="s">
        <v>727</v>
      </c>
      <c r="P64" s="24" t="s">
        <v>691</v>
      </c>
    </row>
    <row r="65" spans="1:16" ht="24" customHeight="1" x14ac:dyDescent="0.25">
      <c r="A65" s="1" t="s">
        <v>74</v>
      </c>
      <c r="B65" s="1" t="s">
        <v>729</v>
      </c>
      <c r="C65" s="2" t="s">
        <v>0</v>
      </c>
      <c r="D65" s="22" t="s">
        <v>723</v>
      </c>
      <c r="E65" s="2"/>
      <c r="F65" s="1"/>
      <c r="G65" s="4" t="s">
        <v>731</v>
      </c>
      <c r="H65" s="4"/>
      <c r="I65" s="4"/>
      <c r="J65" s="22" t="s">
        <v>701</v>
      </c>
      <c r="K65" s="2" t="s">
        <v>0</v>
      </c>
      <c r="L65" s="22" t="s">
        <v>639</v>
      </c>
      <c r="M65" s="22"/>
      <c r="N65" s="22"/>
      <c r="O65" s="1" t="s">
        <v>750</v>
      </c>
      <c r="P65" s="24" t="s">
        <v>691</v>
      </c>
    </row>
    <row r="66" spans="1:16" ht="24" customHeight="1" x14ac:dyDescent="0.25">
      <c r="A66" s="1" t="s">
        <v>75</v>
      </c>
      <c r="B66" s="1" t="s">
        <v>729</v>
      </c>
      <c r="C66" s="2" t="s">
        <v>0</v>
      </c>
      <c r="D66" s="22" t="s">
        <v>723</v>
      </c>
      <c r="E66" s="2" t="s">
        <v>0</v>
      </c>
      <c r="F66" s="1" t="s">
        <v>687</v>
      </c>
      <c r="G66" s="4" t="s">
        <v>731</v>
      </c>
      <c r="H66" s="4"/>
      <c r="I66" s="4"/>
      <c r="J66" s="22" t="s">
        <v>737</v>
      </c>
      <c r="K66" s="2" t="s">
        <v>0</v>
      </c>
      <c r="L66" s="22" t="s">
        <v>732</v>
      </c>
      <c r="M66" s="22"/>
      <c r="N66" s="22"/>
      <c r="O66" s="1" t="s">
        <v>722</v>
      </c>
      <c r="P66" s="24" t="s">
        <v>691</v>
      </c>
    </row>
    <row r="67" spans="1:16" ht="24" customHeight="1" x14ac:dyDescent="0.25">
      <c r="A67" s="1" t="s">
        <v>76</v>
      </c>
      <c r="B67" s="1" t="s">
        <v>729</v>
      </c>
      <c r="C67" s="2" t="s">
        <v>0</v>
      </c>
      <c r="D67" s="22" t="s">
        <v>738</v>
      </c>
      <c r="E67" s="2"/>
      <c r="F67" s="3"/>
      <c r="G67" s="4" t="s">
        <v>731</v>
      </c>
      <c r="H67" s="4"/>
      <c r="I67" s="4"/>
      <c r="J67" s="22" t="s">
        <v>700</v>
      </c>
      <c r="K67" s="2" t="s">
        <v>0</v>
      </c>
      <c r="L67" s="22" t="s">
        <v>689</v>
      </c>
      <c r="M67" s="22"/>
      <c r="N67" s="22"/>
      <c r="O67" s="1" t="s">
        <v>751</v>
      </c>
      <c r="P67" s="24" t="s">
        <v>755</v>
      </c>
    </row>
    <row r="68" spans="1:16" ht="24" customHeight="1" x14ac:dyDescent="0.25">
      <c r="A68" s="1" t="s">
        <v>77</v>
      </c>
      <c r="B68" s="1" t="s">
        <v>729</v>
      </c>
      <c r="C68" s="2" t="s">
        <v>0</v>
      </c>
      <c r="D68" s="22" t="s">
        <v>688</v>
      </c>
      <c r="E68" s="2" t="s">
        <v>0</v>
      </c>
      <c r="F68" s="1" t="s">
        <v>687</v>
      </c>
      <c r="G68" s="2" t="s">
        <v>731</v>
      </c>
      <c r="H68" s="4"/>
      <c r="I68" s="4"/>
      <c r="J68" s="22" t="s">
        <v>745</v>
      </c>
      <c r="K68" s="22" t="s">
        <v>0</v>
      </c>
      <c r="L68" s="22" t="s">
        <v>732</v>
      </c>
      <c r="O68" s="1" t="s">
        <v>752</v>
      </c>
      <c r="P68" s="24" t="s">
        <v>691</v>
      </c>
    </row>
    <row r="69" spans="1:16" ht="24" customHeight="1" x14ac:dyDescent="0.25">
      <c r="A69" s="1" t="s">
        <v>78</v>
      </c>
      <c r="B69" s="1" t="s">
        <v>729</v>
      </c>
      <c r="C69" s="2" t="s">
        <v>0</v>
      </c>
      <c r="D69" s="22" t="s">
        <v>739</v>
      </c>
      <c r="E69" s="2"/>
      <c r="F69" s="3"/>
      <c r="G69" s="4" t="s">
        <v>731</v>
      </c>
      <c r="H69" s="4"/>
      <c r="I69" s="4"/>
      <c r="J69" s="22" t="s">
        <v>700</v>
      </c>
      <c r="K69" s="2" t="s">
        <v>0</v>
      </c>
      <c r="L69" s="22" t="s">
        <v>688</v>
      </c>
      <c r="M69" s="22"/>
      <c r="N69" s="22"/>
      <c r="O69" s="1" t="s">
        <v>727</v>
      </c>
      <c r="P69" s="24" t="s">
        <v>691</v>
      </c>
    </row>
    <row r="70" spans="1:16" ht="24" customHeight="1" x14ac:dyDescent="0.25">
      <c r="A70" s="1" t="s">
        <v>79</v>
      </c>
      <c r="B70" s="1" t="s">
        <v>729</v>
      </c>
      <c r="C70" s="2" t="s">
        <v>0</v>
      </c>
      <c r="D70" s="22" t="s">
        <v>739</v>
      </c>
      <c r="E70" s="2" t="s">
        <v>0</v>
      </c>
      <c r="F70" s="1" t="s">
        <v>687</v>
      </c>
      <c r="G70" s="2" t="s">
        <v>731</v>
      </c>
      <c r="H70" s="4"/>
      <c r="I70" s="4"/>
      <c r="J70" s="22" t="s">
        <v>746</v>
      </c>
      <c r="K70" s="22" t="s">
        <v>0</v>
      </c>
      <c r="L70" s="22" t="s">
        <v>732</v>
      </c>
      <c r="M70" s="22"/>
      <c r="N70" s="22"/>
      <c r="O70" s="1" t="s">
        <v>753</v>
      </c>
      <c r="P70" s="24" t="s">
        <v>756</v>
      </c>
    </row>
    <row r="71" spans="1:16" ht="24" customHeight="1" x14ac:dyDescent="0.25">
      <c r="A71" s="1" t="s">
        <v>80</v>
      </c>
      <c r="B71" s="1" t="s">
        <v>729</v>
      </c>
      <c r="C71" s="2" t="s">
        <v>0</v>
      </c>
      <c r="D71" s="22" t="s">
        <v>740</v>
      </c>
      <c r="E71" s="2" t="s">
        <v>0</v>
      </c>
      <c r="F71" s="1" t="s">
        <v>687</v>
      </c>
      <c r="G71" s="2" t="s">
        <v>731</v>
      </c>
      <c r="H71" s="4"/>
      <c r="I71" s="4"/>
      <c r="J71" s="22" t="s">
        <v>747</v>
      </c>
      <c r="K71" s="22" t="s">
        <v>0</v>
      </c>
      <c r="L71" s="22" t="s">
        <v>732</v>
      </c>
      <c r="M71" s="22"/>
      <c r="N71" s="22"/>
      <c r="O71" s="1" t="s">
        <v>754</v>
      </c>
      <c r="P71" s="24" t="s">
        <v>756</v>
      </c>
    </row>
    <row r="72" spans="1:16" ht="24" customHeight="1" x14ac:dyDescent="0.25">
      <c r="A72" s="1" t="s">
        <v>81</v>
      </c>
      <c r="B72" s="1" t="s">
        <v>729</v>
      </c>
      <c r="C72" s="2" t="s">
        <v>0</v>
      </c>
      <c r="D72" s="22" t="s">
        <v>741</v>
      </c>
      <c r="E72" s="2"/>
      <c r="F72" s="3"/>
      <c r="G72" s="4" t="s">
        <v>731</v>
      </c>
      <c r="H72" s="4"/>
      <c r="I72" s="4"/>
      <c r="J72" s="22" t="s">
        <v>748</v>
      </c>
      <c r="K72" s="2" t="s">
        <v>0</v>
      </c>
      <c r="L72" s="22" t="s">
        <v>733</v>
      </c>
      <c r="M72" s="22"/>
      <c r="N72" s="22"/>
      <c r="O72" s="1" t="s">
        <v>757</v>
      </c>
      <c r="P72" s="24" t="s">
        <v>4</v>
      </c>
    </row>
    <row r="73" spans="1:16" ht="24" customHeight="1" x14ac:dyDescent="0.25">
      <c r="A73" s="1" t="s">
        <v>82</v>
      </c>
      <c r="B73" s="1" t="s">
        <v>729</v>
      </c>
      <c r="C73" s="2" t="s">
        <v>0</v>
      </c>
      <c r="D73" s="22" t="s">
        <v>741</v>
      </c>
      <c r="E73" s="2"/>
      <c r="F73" s="3"/>
      <c r="G73" s="4" t="s">
        <v>731</v>
      </c>
      <c r="H73" s="4"/>
      <c r="I73" s="4"/>
      <c r="J73" s="22" t="s">
        <v>700</v>
      </c>
      <c r="K73" s="2" t="s">
        <v>0</v>
      </c>
      <c r="L73" s="22" t="s">
        <v>744</v>
      </c>
      <c r="M73" s="22"/>
      <c r="N73" s="22"/>
      <c r="O73" s="1" t="s">
        <v>758</v>
      </c>
      <c r="P73" s="24" t="s">
        <v>4</v>
      </c>
    </row>
    <row r="74" spans="1:16" ht="24" customHeight="1" x14ac:dyDescent="0.25">
      <c r="A74" s="1" t="s">
        <v>83</v>
      </c>
      <c r="B74" s="1" t="s">
        <v>729</v>
      </c>
      <c r="C74" s="2" t="s">
        <v>0</v>
      </c>
      <c r="D74" s="22" t="s">
        <v>741</v>
      </c>
      <c r="E74" s="2"/>
      <c r="F74" s="3"/>
      <c r="G74" s="4" t="s">
        <v>731</v>
      </c>
      <c r="H74" s="4"/>
      <c r="I74" s="4"/>
      <c r="J74" s="22" t="s">
        <v>749</v>
      </c>
      <c r="K74" s="2" t="s">
        <v>0</v>
      </c>
      <c r="L74" s="22" t="s">
        <v>734</v>
      </c>
      <c r="M74" s="22"/>
      <c r="N74" s="22"/>
      <c r="O74" s="1" t="s">
        <v>759</v>
      </c>
      <c r="P74" s="24" t="s">
        <v>4</v>
      </c>
    </row>
    <row r="75" spans="1:16" ht="24" customHeight="1" x14ac:dyDescent="0.25">
      <c r="A75" s="1" t="s">
        <v>84</v>
      </c>
      <c r="B75" s="1" t="s">
        <v>729</v>
      </c>
      <c r="C75" s="2" t="s">
        <v>0</v>
      </c>
      <c r="D75" s="22" t="s">
        <v>742</v>
      </c>
      <c r="E75" s="2"/>
      <c r="F75" s="3"/>
      <c r="G75" s="4" t="s">
        <v>731</v>
      </c>
      <c r="H75" s="4"/>
      <c r="I75" s="4"/>
      <c r="J75" s="22" t="s">
        <v>746</v>
      </c>
      <c r="K75" s="2" t="s">
        <v>0</v>
      </c>
      <c r="L75" s="22" t="s">
        <v>733</v>
      </c>
      <c r="M75" s="22"/>
      <c r="N75" s="22"/>
      <c r="O75" s="1" t="s">
        <v>762</v>
      </c>
      <c r="P75" s="24" t="s">
        <v>756</v>
      </c>
    </row>
    <row r="76" spans="1:16" ht="24" customHeight="1" x14ac:dyDescent="0.25">
      <c r="A76" s="1" t="s">
        <v>85</v>
      </c>
      <c r="B76" s="1" t="s">
        <v>700</v>
      </c>
      <c r="C76" s="2" t="s">
        <v>0</v>
      </c>
      <c r="D76" s="22" t="s">
        <v>636</v>
      </c>
      <c r="E76" s="2"/>
      <c r="F76" s="3"/>
      <c r="G76" s="4" t="s">
        <v>731</v>
      </c>
      <c r="H76" s="4"/>
      <c r="I76" s="4"/>
      <c r="J76" s="22" t="s">
        <v>688</v>
      </c>
      <c r="K76" s="4" t="s">
        <v>0</v>
      </c>
      <c r="L76" s="22" t="s">
        <v>729</v>
      </c>
      <c r="M76" s="2"/>
      <c r="N76" s="22"/>
      <c r="O76" s="1" t="s">
        <v>763</v>
      </c>
      <c r="P76" s="24" t="s">
        <v>691</v>
      </c>
    </row>
    <row r="77" spans="1:16" ht="24" customHeight="1" x14ac:dyDescent="0.25">
      <c r="A77" s="1" t="s">
        <v>86</v>
      </c>
      <c r="B77" s="1" t="s">
        <v>700</v>
      </c>
      <c r="C77" s="2" t="s">
        <v>0</v>
      </c>
      <c r="D77" s="22" t="s">
        <v>689</v>
      </c>
      <c r="E77" s="2"/>
      <c r="F77" s="3"/>
      <c r="G77" s="4" t="s">
        <v>731</v>
      </c>
      <c r="H77" s="4"/>
      <c r="I77" s="4"/>
      <c r="J77" s="22" t="s">
        <v>738</v>
      </c>
      <c r="K77" s="4" t="s">
        <v>0</v>
      </c>
      <c r="L77" s="22" t="s">
        <v>729</v>
      </c>
      <c r="M77" s="2"/>
      <c r="N77" s="22"/>
      <c r="O77" s="1" t="s">
        <v>764</v>
      </c>
      <c r="P77" s="24" t="s">
        <v>755</v>
      </c>
    </row>
    <row r="78" spans="1:16" ht="24" customHeight="1" x14ac:dyDescent="0.25">
      <c r="A78" s="1" t="s">
        <v>87</v>
      </c>
      <c r="B78" s="1" t="s">
        <v>700</v>
      </c>
      <c r="C78" s="2" t="s">
        <v>0</v>
      </c>
      <c r="D78" s="1" t="s">
        <v>642</v>
      </c>
      <c r="E78" s="2"/>
      <c r="F78" s="3"/>
      <c r="G78" s="4" t="s">
        <v>731</v>
      </c>
      <c r="H78" s="4"/>
      <c r="I78" s="4"/>
      <c r="J78" s="22" t="s">
        <v>689</v>
      </c>
      <c r="K78" s="2" t="s">
        <v>0</v>
      </c>
      <c r="L78" s="22" t="s">
        <v>639</v>
      </c>
      <c r="M78" s="22" t="s">
        <v>0</v>
      </c>
      <c r="N78" s="22" t="s">
        <v>729</v>
      </c>
      <c r="O78" s="1" t="s">
        <v>760</v>
      </c>
      <c r="P78" s="24" t="s">
        <v>691</v>
      </c>
    </row>
    <row r="79" spans="1:16" ht="24" customHeight="1" x14ac:dyDescent="0.25">
      <c r="A79" s="1" t="s">
        <v>88</v>
      </c>
      <c r="B79" s="1" t="s">
        <v>700</v>
      </c>
      <c r="C79" s="2" t="s">
        <v>0</v>
      </c>
      <c r="D79" s="1" t="s">
        <v>643</v>
      </c>
      <c r="E79" s="2"/>
      <c r="F79" s="3"/>
      <c r="G79" s="4" t="s">
        <v>731</v>
      </c>
      <c r="H79" s="4"/>
      <c r="I79" s="4"/>
      <c r="J79" s="22" t="s">
        <v>689</v>
      </c>
      <c r="K79" s="2" t="s">
        <v>0</v>
      </c>
      <c r="L79" s="22" t="s">
        <v>639</v>
      </c>
      <c r="M79" s="22" t="s">
        <v>0</v>
      </c>
      <c r="N79" s="22" t="s">
        <v>729</v>
      </c>
      <c r="O79" s="1" t="s">
        <v>761</v>
      </c>
      <c r="P79" s="24" t="s">
        <v>691</v>
      </c>
    </row>
    <row r="80" spans="1:16" ht="24" customHeight="1" x14ac:dyDescent="0.25">
      <c r="A80" s="1" t="s">
        <v>89</v>
      </c>
      <c r="B80" s="1" t="s">
        <v>700</v>
      </c>
      <c r="C80" s="2" t="s">
        <v>0</v>
      </c>
      <c r="D80" s="22" t="s">
        <v>639</v>
      </c>
      <c r="E80" s="2"/>
      <c r="F80" s="3"/>
      <c r="G80" s="4" t="s">
        <v>731</v>
      </c>
      <c r="H80" s="4"/>
      <c r="I80" s="4"/>
      <c r="J80" s="22" t="s">
        <v>649</v>
      </c>
      <c r="K80" s="2" t="s">
        <v>0</v>
      </c>
      <c r="L80" s="22" t="s">
        <v>729</v>
      </c>
      <c r="M80" s="22"/>
      <c r="N80" s="22"/>
      <c r="O80" s="1" t="s">
        <v>765</v>
      </c>
      <c r="P80" s="24" t="s">
        <v>691</v>
      </c>
    </row>
    <row r="81" spans="1:16" ht="24" customHeight="1" x14ac:dyDescent="0.25">
      <c r="A81" s="1" t="s">
        <v>90</v>
      </c>
      <c r="B81" s="1" t="s">
        <v>700</v>
      </c>
      <c r="C81" s="2" t="s">
        <v>0</v>
      </c>
      <c r="D81" s="22" t="s">
        <v>649</v>
      </c>
      <c r="E81" s="2"/>
      <c r="F81" s="3"/>
      <c r="G81" s="4" t="s">
        <v>731</v>
      </c>
      <c r="H81" s="4"/>
      <c r="I81" s="4"/>
      <c r="J81" s="22" t="s">
        <v>723</v>
      </c>
      <c r="K81" s="4" t="s">
        <v>0</v>
      </c>
      <c r="L81" s="22" t="s">
        <v>729</v>
      </c>
      <c r="M81" s="22"/>
      <c r="N81" s="22"/>
      <c r="O81" s="1" t="s">
        <v>764</v>
      </c>
      <c r="P81" s="24" t="s">
        <v>755</v>
      </c>
    </row>
    <row r="82" spans="1:16" ht="24" customHeight="1" x14ac:dyDescent="0.25">
      <c r="A82" s="1" t="s">
        <v>91</v>
      </c>
      <c r="B82" s="1" t="s">
        <v>700</v>
      </c>
      <c r="C82" s="2" t="s">
        <v>0</v>
      </c>
      <c r="D82" s="1" t="s">
        <v>743</v>
      </c>
      <c r="E82" s="2"/>
      <c r="F82" s="3"/>
      <c r="G82" s="4" t="s">
        <v>731</v>
      </c>
      <c r="H82" s="4"/>
      <c r="I82" s="4"/>
      <c r="J82" s="22" t="s">
        <v>723</v>
      </c>
      <c r="K82" s="2" t="s">
        <v>0</v>
      </c>
      <c r="L82" s="22" t="s">
        <v>729</v>
      </c>
      <c r="M82" s="22"/>
      <c r="N82" s="22"/>
      <c r="O82" s="1" t="s">
        <v>766</v>
      </c>
      <c r="P82" s="24" t="s">
        <v>691</v>
      </c>
    </row>
    <row r="83" spans="1:16" ht="24" customHeight="1" x14ac:dyDescent="0.25">
      <c r="A83" s="1" t="s">
        <v>92</v>
      </c>
      <c r="B83" s="1" t="s">
        <v>700</v>
      </c>
      <c r="C83" s="2" t="s">
        <v>0</v>
      </c>
      <c r="D83" s="22" t="s">
        <v>736</v>
      </c>
      <c r="E83" s="2"/>
      <c r="F83" s="3"/>
      <c r="G83" s="4" t="s">
        <v>731</v>
      </c>
      <c r="H83" s="4"/>
      <c r="I83" s="4"/>
      <c r="J83" s="22" t="s">
        <v>735</v>
      </c>
      <c r="K83" s="4" t="s">
        <v>0</v>
      </c>
      <c r="L83" s="22" t="s">
        <v>649</v>
      </c>
      <c r="M83" s="2" t="s">
        <v>0</v>
      </c>
      <c r="N83" s="22" t="s">
        <v>729</v>
      </c>
      <c r="O83" s="1" t="s">
        <v>766</v>
      </c>
      <c r="P83" s="24" t="s">
        <v>691</v>
      </c>
    </row>
    <row r="84" spans="1:16" ht="24" customHeight="1" x14ac:dyDescent="0.25">
      <c r="A84" s="1" t="s">
        <v>93</v>
      </c>
      <c r="B84" s="1" t="s">
        <v>700</v>
      </c>
      <c r="C84" s="2" t="s">
        <v>0</v>
      </c>
      <c r="D84" s="22" t="s">
        <v>688</v>
      </c>
      <c r="E84" s="2"/>
      <c r="F84" s="3"/>
      <c r="G84" s="4" t="s">
        <v>731</v>
      </c>
      <c r="H84" s="4"/>
      <c r="I84" s="4"/>
      <c r="J84" s="22" t="s">
        <v>730</v>
      </c>
      <c r="K84" s="4" t="s">
        <v>0</v>
      </c>
      <c r="L84" s="22" t="s">
        <v>729</v>
      </c>
      <c r="M84" s="2"/>
      <c r="N84" s="22"/>
      <c r="O84" s="1" t="s">
        <v>763</v>
      </c>
      <c r="P84" s="24" t="s">
        <v>691</v>
      </c>
    </row>
    <row r="85" spans="1:16" ht="24" customHeight="1" x14ac:dyDescent="0.25">
      <c r="A85" s="1" t="s">
        <v>94</v>
      </c>
      <c r="B85" s="1" t="s">
        <v>700</v>
      </c>
      <c r="C85" s="2" t="s">
        <v>0</v>
      </c>
      <c r="D85" s="22" t="s">
        <v>744</v>
      </c>
      <c r="E85" s="2"/>
      <c r="F85" s="3"/>
      <c r="G85" s="4" t="s">
        <v>731</v>
      </c>
      <c r="H85" s="4"/>
      <c r="I85" s="4"/>
      <c r="J85" s="22" t="s">
        <v>741</v>
      </c>
      <c r="K85" s="4" t="s">
        <v>0</v>
      </c>
      <c r="L85" s="22" t="s">
        <v>729</v>
      </c>
      <c r="M85" s="2"/>
      <c r="N85" s="22"/>
      <c r="O85" s="1" t="s">
        <v>770</v>
      </c>
      <c r="P85" s="24" t="s">
        <v>691</v>
      </c>
    </row>
    <row r="86" spans="1:16" ht="24" customHeight="1" x14ac:dyDescent="0.25">
      <c r="A86" s="1" t="s">
        <v>95</v>
      </c>
      <c r="B86" s="1" t="s">
        <v>701</v>
      </c>
      <c r="C86" s="2" t="s">
        <v>0</v>
      </c>
      <c r="D86" s="22" t="s">
        <v>636</v>
      </c>
      <c r="E86" s="2"/>
      <c r="F86" s="3"/>
      <c r="G86" s="4" t="s">
        <v>731</v>
      </c>
      <c r="H86" s="4"/>
      <c r="I86" s="4"/>
      <c r="J86" s="22" t="s">
        <v>739</v>
      </c>
      <c r="K86" s="4" t="s">
        <v>0</v>
      </c>
      <c r="L86" s="22" t="s">
        <v>729</v>
      </c>
      <c r="M86" s="2"/>
      <c r="N86" s="22"/>
      <c r="O86" s="1" t="s">
        <v>768</v>
      </c>
      <c r="P86" s="24" t="s">
        <v>691</v>
      </c>
    </row>
    <row r="87" spans="1:16" ht="24" customHeight="1" x14ac:dyDescent="0.25">
      <c r="A87" s="1" t="s">
        <v>96</v>
      </c>
      <c r="B87" s="1" t="s">
        <v>701</v>
      </c>
      <c r="C87" s="2" t="s">
        <v>0</v>
      </c>
      <c r="D87" s="22" t="s">
        <v>689</v>
      </c>
      <c r="E87" s="2"/>
      <c r="F87" s="3"/>
      <c r="G87" s="4" t="s">
        <v>731</v>
      </c>
      <c r="H87" s="4"/>
      <c r="I87" s="4"/>
      <c r="J87" s="22" t="s">
        <v>689</v>
      </c>
      <c r="K87" s="4" t="s">
        <v>0</v>
      </c>
      <c r="L87" s="22" t="s">
        <v>649</v>
      </c>
      <c r="M87" s="2" t="s">
        <v>0</v>
      </c>
      <c r="N87" s="22" t="s">
        <v>729</v>
      </c>
      <c r="O87" s="1" t="s">
        <v>771</v>
      </c>
      <c r="P87" s="24" t="s">
        <v>691</v>
      </c>
    </row>
    <row r="88" spans="1:16" ht="24" customHeight="1" x14ac:dyDescent="0.25">
      <c r="A88" s="1" t="s">
        <v>97</v>
      </c>
      <c r="B88" s="1" t="s">
        <v>701</v>
      </c>
      <c r="C88" s="2" t="s">
        <v>0</v>
      </c>
      <c r="D88" s="1" t="s">
        <v>642</v>
      </c>
      <c r="E88" s="2"/>
      <c r="F88" s="3"/>
      <c r="G88" s="4" t="s">
        <v>731</v>
      </c>
      <c r="H88" s="4"/>
      <c r="I88" s="4"/>
      <c r="J88" s="22" t="s">
        <v>689</v>
      </c>
      <c r="K88" s="2" t="s">
        <v>0</v>
      </c>
      <c r="L88" s="22" t="s">
        <v>649</v>
      </c>
      <c r="M88" s="2" t="s">
        <v>0</v>
      </c>
      <c r="N88" s="22" t="s">
        <v>729</v>
      </c>
      <c r="O88" s="1" t="s">
        <v>772</v>
      </c>
      <c r="P88" s="24" t="s">
        <v>691</v>
      </c>
    </row>
    <row r="89" spans="1:16" ht="24" customHeight="1" x14ac:dyDescent="0.25">
      <c r="A89" s="1" t="s">
        <v>98</v>
      </c>
      <c r="B89" s="1" t="s">
        <v>701</v>
      </c>
      <c r="C89" s="2" t="s">
        <v>0</v>
      </c>
      <c r="D89" s="1" t="s">
        <v>643</v>
      </c>
      <c r="E89" s="2"/>
      <c r="F89" s="3"/>
      <c r="G89" s="4" t="s">
        <v>731</v>
      </c>
      <c r="H89" s="4"/>
      <c r="I89" s="4"/>
      <c r="J89" s="22" t="s">
        <v>689</v>
      </c>
      <c r="K89" s="4" t="s">
        <v>0</v>
      </c>
      <c r="L89" s="22" t="s">
        <v>649</v>
      </c>
      <c r="M89" s="2" t="s">
        <v>0</v>
      </c>
      <c r="N89" s="22" t="s">
        <v>729</v>
      </c>
      <c r="O89" s="1" t="s">
        <v>773</v>
      </c>
      <c r="P89" s="24" t="s">
        <v>691</v>
      </c>
    </row>
    <row r="90" spans="1:16" ht="24" customHeight="1" x14ac:dyDescent="0.25">
      <c r="A90" s="1" t="s">
        <v>99</v>
      </c>
      <c r="B90" s="1" t="s">
        <v>701</v>
      </c>
      <c r="C90" s="2" t="s">
        <v>0</v>
      </c>
      <c r="D90" s="22" t="s">
        <v>639</v>
      </c>
      <c r="E90" s="2"/>
      <c r="F90" s="3"/>
      <c r="G90" s="4" t="s">
        <v>731</v>
      </c>
      <c r="H90" s="4"/>
      <c r="I90" s="4"/>
      <c r="J90" s="22" t="s">
        <v>723</v>
      </c>
      <c r="K90" s="4" t="s">
        <v>0</v>
      </c>
      <c r="L90" s="22" t="s">
        <v>729</v>
      </c>
      <c r="M90" s="2"/>
      <c r="N90" s="22"/>
      <c r="O90" s="1" t="s">
        <v>774</v>
      </c>
      <c r="P90" s="24" t="s">
        <v>691</v>
      </c>
    </row>
    <row r="91" spans="1:16" ht="24" customHeight="1" x14ac:dyDescent="0.25">
      <c r="A91" s="1" t="s">
        <v>100</v>
      </c>
      <c r="B91" s="1" t="s">
        <v>701</v>
      </c>
      <c r="C91" s="2" t="s">
        <v>0</v>
      </c>
      <c r="D91" s="22" t="s">
        <v>649</v>
      </c>
      <c r="E91" s="2"/>
      <c r="F91" s="3"/>
      <c r="G91" s="4" t="s">
        <v>731</v>
      </c>
      <c r="H91" s="4"/>
      <c r="I91" s="4"/>
      <c r="J91" s="22" t="s">
        <v>649</v>
      </c>
      <c r="K91" s="4" t="s">
        <v>0</v>
      </c>
      <c r="L91" s="22" t="s">
        <v>649</v>
      </c>
      <c r="M91" s="2" t="s">
        <v>0</v>
      </c>
      <c r="N91" s="22" t="s">
        <v>729</v>
      </c>
      <c r="O91" s="1" t="s">
        <v>775</v>
      </c>
      <c r="P91" s="24" t="s">
        <v>691</v>
      </c>
    </row>
    <row r="92" spans="1:16" ht="24" customHeight="1" x14ac:dyDescent="0.25">
      <c r="A92" s="1" t="s">
        <v>101</v>
      </c>
      <c r="B92" s="1" t="s">
        <v>701</v>
      </c>
      <c r="C92" s="2" t="s">
        <v>0</v>
      </c>
      <c r="D92" s="22" t="s">
        <v>723</v>
      </c>
      <c r="E92" s="2"/>
      <c r="F92" s="3"/>
      <c r="G92" s="4" t="s">
        <v>731</v>
      </c>
      <c r="H92" s="4"/>
      <c r="I92" s="4"/>
      <c r="J92" s="22" t="s">
        <v>723</v>
      </c>
      <c r="K92" s="4" t="s">
        <v>0</v>
      </c>
      <c r="L92" s="22" t="s">
        <v>649</v>
      </c>
      <c r="M92" s="2" t="s">
        <v>0</v>
      </c>
      <c r="N92" s="22" t="s">
        <v>729</v>
      </c>
      <c r="O92" s="1" t="s">
        <v>769</v>
      </c>
      <c r="P92" s="24" t="s">
        <v>691</v>
      </c>
    </row>
    <row r="93" spans="1:16" ht="24" customHeight="1" x14ac:dyDescent="0.25">
      <c r="A93" s="1" t="s">
        <v>102</v>
      </c>
      <c r="B93" s="1" t="s">
        <v>701</v>
      </c>
      <c r="C93" s="2" t="s">
        <v>0</v>
      </c>
      <c r="D93" s="1" t="s">
        <v>743</v>
      </c>
      <c r="E93" s="2"/>
      <c r="F93" s="3"/>
      <c r="G93" s="4" t="s">
        <v>731</v>
      </c>
      <c r="H93" s="4"/>
      <c r="I93" s="4"/>
      <c r="J93" s="22" t="s">
        <v>649</v>
      </c>
      <c r="K93" s="2" t="s">
        <v>0</v>
      </c>
      <c r="L93" s="22" t="s">
        <v>649</v>
      </c>
      <c r="M93" s="2" t="s">
        <v>0</v>
      </c>
      <c r="N93" s="22" t="s">
        <v>729</v>
      </c>
      <c r="O93" s="1" t="s">
        <v>751</v>
      </c>
      <c r="P93" s="24" t="s">
        <v>691</v>
      </c>
    </row>
    <row r="94" spans="1:16" ht="24" customHeight="1" x14ac:dyDescent="0.25">
      <c r="A94" s="1" t="s">
        <v>103</v>
      </c>
      <c r="B94" s="1" t="s">
        <v>701</v>
      </c>
      <c r="C94" s="2" t="s">
        <v>0</v>
      </c>
      <c r="D94" s="22" t="s">
        <v>734</v>
      </c>
      <c r="E94" s="2"/>
      <c r="F94" s="3"/>
      <c r="G94" s="4" t="s">
        <v>731</v>
      </c>
      <c r="H94" s="4"/>
      <c r="I94" s="4"/>
      <c r="J94" s="22" t="s">
        <v>767</v>
      </c>
      <c r="K94" s="4" t="s">
        <v>0</v>
      </c>
      <c r="L94" s="22" t="s">
        <v>729</v>
      </c>
      <c r="M94" s="2"/>
      <c r="N94" s="22"/>
      <c r="O94" s="1" t="s">
        <v>776</v>
      </c>
      <c r="P94" s="24" t="s">
        <v>777</v>
      </c>
    </row>
    <row r="95" spans="1:16" ht="24" customHeight="1" x14ac:dyDescent="0.25">
      <c r="A95" s="1" t="s">
        <v>104</v>
      </c>
      <c r="B95" s="1" t="s">
        <v>737</v>
      </c>
      <c r="C95" s="2" t="s">
        <v>0</v>
      </c>
      <c r="D95" s="22" t="s">
        <v>639</v>
      </c>
      <c r="E95" s="2"/>
      <c r="F95" s="3"/>
      <c r="G95" s="4" t="s">
        <v>731</v>
      </c>
      <c r="H95" s="4"/>
      <c r="I95" s="4"/>
      <c r="J95" s="22" t="s">
        <v>649</v>
      </c>
      <c r="K95" s="4" t="s">
        <v>0</v>
      </c>
      <c r="L95" s="22" t="s">
        <v>649</v>
      </c>
      <c r="M95" s="2" t="s">
        <v>0</v>
      </c>
      <c r="N95" s="22" t="s">
        <v>729</v>
      </c>
      <c r="O95" s="1" t="s">
        <v>766</v>
      </c>
      <c r="P95" s="24" t="s">
        <v>691</v>
      </c>
    </row>
    <row r="96" spans="1:16" ht="24" customHeight="1" x14ac:dyDescent="0.25">
      <c r="A96" s="1" t="s">
        <v>105</v>
      </c>
      <c r="B96" s="1" t="s">
        <v>737</v>
      </c>
      <c r="C96" s="2" t="s">
        <v>0</v>
      </c>
      <c r="D96" s="22" t="s">
        <v>649</v>
      </c>
      <c r="E96" s="2"/>
      <c r="F96" s="3"/>
      <c r="G96" s="4" t="s">
        <v>731</v>
      </c>
      <c r="H96" s="4"/>
      <c r="I96" s="4"/>
      <c r="J96" s="22" t="s">
        <v>736</v>
      </c>
      <c r="K96" s="4" t="s">
        <v>0</v>
      </c>
      <c r="L96" s="22" t="s">
        <v>649</v>
      </c>
      <c r="M96" s="2" t="s">
        <v>0</v>
      </c>
      <c r="N96" s="22" t="s">
        <v>729</v>
      </c>
      <c r="O96" s="1" t="s">
        <v>778</v>
      </c>
      <c r="P96" s="24" t="s">
        <v>755</v>
      </c>
    </row>
    <row r="97" spans="1:16" ht="24" customHeight="1" x14ac:dyDescent="0.25">
      <c r="A97" s="1" t="s">
        <v>106</v>
      </c>
      <c r="B97" s="1" t="s">
        <v>737</v>
      </c>
      <c r="C97" s="2" t="s">
        <v>0</v>
      </c>
      <c r="D97" s="22" t="s">
        <v>723</v>
      </c>
      <c r="E97" s="2"/>
      <c r="F97" s="3"/>
      <c r="G97" s="4" t="s">
        <v>731</v>
      </c>
      <c r="H97" s="4"/>
      <c r="I97" s="4"/>
      <c r="J97" s="22" t="s">
        <v>649</v>
      </c>
      <c r="K97" s="2" t="s">
        <v>0</v>
      </c>
      <c r="L97" s="22" t="s">
        <v>649</v>
      </c>
      <c r="M97" s="2" t="s">
        <v>0</v>
      </c>
      <c r="N97" s="22" t="s">
        <v>1</v>
      </c>
      <c r="O97" s="1" t="s">
        <v>766</v>
      </c>
      <c r="P97" s="24" t="s">
        <v>755</v>
      </c>
    </row>
    <row r="98" spans="1:16" ht="24" customHeight="1" x14ac:dyDescent="0.25">
      <c r="A98" s="1" t="s">
        <v>107</v>
      </c>
      <c r="B98" s="1" t="s">
        <v>745</v>
      </c>
      <c r="C98" s="2" t="s">
        <v>0</v>
      </c>
      <c r="D98" s="22" t="s">
        <v>732</v>
      </c>
      <c r="E98" s="2"/>
      <c r="F98" s="3"/>
      <c r="G98" s="4" t="s">
        <v>731</v>
      </c>
      <c r="H98" s="4"/>
      <c r="I98" s="4"/>
      <c r="J98" s="22" t="s">
        <v>688</v>
      </c>
      <c r="K98" s="4" t="s">
        <v>0</v>
      </c>
      <c r="L98" s="22" t="s">
        <v>732</v>
      </c>
      <c r="M98" s="2" t="s">
        <v>0</v>
      </c>
      <c r="N98" s="22" t="s">
        <v>729</v>
      </c>
      <c r="O98" s="1" t="s">
        <v>779</v>
      </c>
      <c r="P98" s="24" t="s">
        <v>780</v>
      </c>
    </row>
    <row r="99" spans="1:16" ht="24" customHeight="1" x14ac:dyDescent="0.25">
      <c r="A99" s="1" t="s">
        <v>108</v>
      </c>
      <c r="B99" s="1" t="s">
        <v>745</v>
      </c>
      <c r="C99" s="2" t="s">
        <v>0</v>
      </c>
      <c r="D99" s="22" t="s">
        <v>688</v>
      </c>
      <c r="E99" s="2"/>
      <c r="F99" s="3"/>
      <c r="G99" s="4" t="s">
        <v>731</v>
      </c>
      <c r="H99" s="4"/>
      <c r="I99" s="4"/>
      <c r="J99" s="22" t="s">
        <v>688</v>
      </c>
      <c r="K99" s="4" t="s">
        <v>0</v>
      </c>
      <c r="L99" s="22" t="s">
        <v>688</v>
      </c>
      <c r="M99" s="2" t="s">
        <v>0</v>
      </c>
      <c r="N99" s="22" t="s">
        <v>729</v>
      </c>
      <c r="O99" s="1" t="s">
        <v>781</v>
      </c>
      <c r="P99" s="24" t="s">
        <v>780</v>
      </c>
    </row>
    <row r="100" spans="1:16" ht="24" customHeight="1" x14ac:dyDescent="0.25">
      <c r="A100" s="1" t="s">
        <v>109</v>
      </c>
      <c r="B100" s="1" t="s">
        <v>745</v>
      </c>
      <c r="C100" s="2" t="s">
        <v>0</v>
      </c>
      <c r="D100" s="22" t="s">
        <v>738</v>
      </c>
      <c r="E100" s="2"/>
      <c r="F100" s="3"/>
      <c r="G100" s="4" t="s">
        <v>731</v>
      </c>
      <c r="H100" s="4"/>
      <c r="I100" s="4"/>
      <c r="J100" s="22" t="s">
        <v>688</v>
      </c>
      <c r="K100" s="4" t="s">
        <v>0</v>
      </c>
      <c r="L100" s="22" t="s">
        <v>738</v>
      </c>
      <c r="M100" s="2" t="s">
        <v>0</v>
      </c>
      <c r="N100" s="22" t="s">
        <v>729</v>
      </c>
      <c r="O100" s="1" t="s">
        <v>782</v>
      </c>
      <c r="P100" s="24" t="s">
        <v>780</v>
      </c>
    </row>
    <row r="101" spans="1:16" ht="24" customHeight="1" x14ac:dyDescent="0.25">
      <c r="A101" s="1" t="s">
        <v>110</v>
      </c>
      <c r="B101" s="1" t="s">
        <v>745</v>
      </c>
      <c r="C101" s="2" t="s">
        <v>0</v>
      </c>
      <c r="D101" s="22" t="s">
        <v>744</v>
      </c>
      <c r="E101" s="2"/>
      <c r="F101" s="3"/>
      <c r="G101" s="4" t="s">
        <v>731</v>
      </c>
      <c r="H101" s="4"/>
      <c r="I101" s="4"/>
      <c r="J101" s="22" t="s">
        <v>688</v>
      </c>
      <c r="K101" s="4" t="s">
        <v>0</v>
      </c>
      <c r="L101" s="22" t="s">
        <v>744</v>
      </c>
      <c r="M101" s="2" t="s">
        <v>0</v>
      </c>
      <c r="N101" s="22" t="s">
        <v>729</v>
      </c>
      <c r="O101" s="1" t="s">
        <v>783</v>
      </c>
      <c r="P101" s="24" t="s">
        <v>780</v>
      </c>
    </row>
    <row r="102" spans="1:16" ht="24" customHeight="1" x14ac:dyDescent="0.25">
      <c r="A102" s="1" t="s">
        <v>111</v>
      </c>
      <c r="B102" s="1" t="s">
        <v>746</v>
      </c>
      <c r="C102" s="2" t="s">
        <v>0</v>
      </c>
      <c r="D102" s="22" t="s">
        <v>639</v>
      </c>
      <c r="E102" s="2"/>
      <c r="F102" s="3"/>
      <c r="G102" s="4" t="s">
        <v>731</v>
      </c>
      <c r="H102" s="4"/>
      <c r="I102" s="4"/>
      <c r="J102" s="22" t="s">
        <v>740</v>
      </c>
      <c r="K102" s="4" t="s">
        <v>0</v>
      </c>
      <c r="L102" s="22" t="s">
        <v>729</v>
      </c>
      <c r="M102" s="2"/>
      <c r="N102" s="22"/>
      <c r="O102" s="1" t="s">
        <v>764</v>
      </c>
      <c r="P102" s="24" t="s">
        <v>690</v>
      </c>
    </row>
    <row r="103" spans="1:16" ht="24" customHeight="1" x14ac:dyDescent="0.25">
      <c r="A103" s="1" t="s">
        <v>112</v>
      </c>
      <c r="B103" s="1" t="s">
        <v>746</v>
      </c>
      <c r="C103" s="2" t="s">
        <v>0</v>
      </c>
      <c r="D103" s="22" t="s">
        <v>636</v>
      </c>
      <c r="E103" s="2"/>
      <c r="F103" s="3"/>
      <c r="G103" s="4" t="s">
        <v>731</v>
      </c>
      <c r="H103" s="4"/>
      <c r="I103" s="4"/>
      <c r="J103" s="22" t="s">
        <v>689</v>
      </c>
      <c r="K103" s="2" t="s">
        <v>0</v>
      </c>
      <c r="L103" s="22" t="s">
        <v>649</v>
      </c>
      <c r="M103" s="2" t="s">
        <v>0</v>
      </c>
      <c r="N103" s="22" t="s">
        <v>729</v>
      </c>
      <c r="O103" s="1" t="s">
        <v>764</v>
      </c>
      <c r="P103" s="24" t="s">
        <v>755</v>
      </c>
    </row>
    <row r="104" spans="1:16" ht="24" customHeight="1" x14ac:dyDescent="0.25">
      <c r="A104" s="1" t="s">
        <v>113</v>
      </c>
      <c r="B104" s="1" t="s">
        <v>747</v>
      </c>
      <c r="C104" s="2" t="s">
        <v>0</v>
      </c>
      <c r="D104" s="22" t="s">
        <v>639</v>
      </c>
      <c r="E104" s="2"/>
      <c r="F104" s="3"/>
      <c r="G104" s="4" t="s">
        <v>731</v>
      </c>
      <c r="H104" s="4"/>
      <c r="I104" s="4"/>
      <c r="J104" s="22" t="s">
        <v>739</v>
      </c>
      <c r="K104" s="4" t="s">
        <v>0</v>
      </c>
      <c r="L104" s="22" t="s">
        <v>649</v>
      </c>
      <c r="M104" s="2" t="s">
        <v>0</v>
      </c>
      <c r="N104" s="22" t="s">
        <v>729</v>
      </c>
      <c r="O104" s="1" t="s">
        <v>764</v>
      </c>
      <c r="P104" s="24" t="s">
        <v>755</v>
      </c>
    </row>
    <row r="105" spans="1:16" ht="24" customHeight="1" x14ac:dyDescent="0.25">
      <c r="A105" s="1" t="s">
        <v>114</v>
      </c>
      <c r="B105" s="1" t="s">
        <v>747</v>
      </c>
      <c r="C105" s="2" t="s">
        <v>0</v>
      </c>
      <c r="D105" s="22" t="s">
        <v>636</v>
      </c>
      <c r="E105" s="2"/>
      <c r="F105" s="3"/>
      <c r="G105" s="4" t="s">
        <v>731</v>
      </c>
      <c r="H105" s="3"/>
      <c r="I105" s="3"/>
      <c r="J105" s="22" t="s">
        <v>689</v>
      </c>
      <c r="K105" s="2" t="s">
        <v>0</v>
      </c>
      <c r="L105" s="22" t="s">
        <v>736</v>
      </c>
      <c r="M105" s="2" t="s">
        <v>0</v>
      </c>
      <c r="N105" s="22" t="s">
        <v>729</v>
      </c>
      <c r="O105" s="1" t="s">
        <v>764</v>
      </c>
      <c r="P105" s="24" t="s">
        <v>755</v>
      </c>
    </row>
    <row r="106" spans="1:16" ht="24" customHeight="1" x14ac:dyDescent="0.25">
      <c r="A106" s="1" t="s">
        <v>115</v>
      </c>
      <c r="B106" s="1" t="s">
        <v>748</v>
      </c>
      <c r="C106" s="2" t="s">
        <v>0</v>
      </c>
      <c r="D106" s="22" t="s">
        <v>649</v>
      </c>
      <c r="E106" s="2"/>
      <c r="F106" s="3"/>
      <c r="G106" s="4" t="s">
        <v>731</v>
      </c>
      <c r="H106" s="3"/>
      <c r="I106" s="3"/>
      <c r="J106" s="22" t="s">
        <v>785</v>
      </c>
      <c r="K106" s="2" t="s">
        <v>0</v>
      </c>
      <c r="L106" s="22" t="s">
        <v>729</v>
      </c>
      <c r="M106" s="22"/>
      <c r="N106" s="22"/>
      <c r="O106" s="1" t="s">
        <v>790</v>
      </c>
      <c r="P106" s="24" t="s">
        <v>777</v>
      </c>
    </row>
    <row r="107" spans="1:16" ht="24" customHeight="1" x14ac:dyDescent="0.25">
      <c r="A107" s="1" t="s">
        <v>116</v>
      </c>
      <c r="B107" s="1" t="s">
        <v>748</v>
      </c>
      <c r="C107" s="2" t="s">
        <v>0</v>
      </c>
      <c r="D107" s="1" t="s">
        <v>734</v>
      </c>
      <c r="E107" s="2"/>
      <c r="F107" s="3"/>
      <c r="G107" s="4" t="s">
        <v>731</v>
      </c>
      <c r="H107" s="3"/>
      <c r="I107" s="3"/>
      <c r="J107" s="22" t="s">
        <v>744</v>
      </c>
      <c r="K107" s="2" t="s">
        <v>0</v>
      </c>
      <c r="L107" s="22" t="s">
        <v>729</v>
      </c>
      <c r="M107" s="22"/>
      <c r="N107" s="22"/>
      <c r="O107" s="1" t="s">
        <v>791</v>
      </c>
      <c r="P107" s="24" t="s">
        <v>691</v>
      </c>
    </row>
    <row r="108" spans="1:16" ht="24" customHeight="1" x14ac:dyDescent="0.25">
      <c r="A108" s="1" t="s">
        <v>117</v>
      </c>
      <c r="B108" s="1" t="s">
        <v>749</v>
      </c>
      <c r="C108" s="2" t="s">
        <v>0</v>
      </c>
      <c r="D108" s="1" t="s">
        <v>639</v>
      </c>
      <c r="E108" s="2"/>
      <c r="F108" s="3"/>
      <c r="G108" s="4" t="s">
        <v>731</v>
      </c>
      <c r="H108" s="3"/>
      <c r="I108" s="3"/>
      <c r="J108" s="22" t="s">
        <v>785</v>
      </c>
      <c r="K108" s="2" t="s">
        <v>0</v>
      </c>
      <c r="L108" s="22" t="s">
        <v>729</v>
      </c>
      <c r="M108" s="22"/>
      <c r="N108" s="22"/>
      <c r="O108" s="1" t="s">
        <v>751</v>
      </c>
      <c r="P108" s="24" t="s">
        <v>777</v>
      </c>
    </row>
    <row r="109" spans="1:16" ht="24" customHeight="1" x14ac:dyDescent="0.25">
      <c r="A109" s="1" t="s">
        <v>118</v>
      </c>
      <c r="B109" s="1" t="s">
        <v>749</v>
      </c>
      <c r="C109" s="2" t="s">
        <v>0</v>
      </c>
      <c r="D109" s="1" t="s">
        <v>734</v>
      </c>
      <c r="E109" s="2"/>
      <c r="F109" s="3"/>
      <c r="G109" s="4" t="s">
        <v>731</v>
      </c>
      <c r="H109" s="3"/>
      <c r="I109" s="3"/>
      <c r="J109" s="22" t="s">
        <v>786</v>
      </c>
      <c r="K109" s="2" t="s">
        <v>0</v>
      </c>
      <c r="L109" s="22" t="s">
        <v>729</v>
      </c>
      <c r="M109" s="22"/>
      <c r="N109" s="22"/>
      <c r="O109" s="1" t="s">
        <v>791</v>
      </c>
      <c r="P109" s="24" t="s">
        <v>691</v>
      </c>
    </row>
    <row r="110" spans="1:16" ht="24" customHeight="1" x14ac:dyDescent="0.25">
      <c r="A110" s="1" t="s">
        <v>119</v>
      </c>
      <c r="B110" s="1" t="s">
        <v>675</v>
      </c>
      <c r="C110" s="2" t="s">
        <v>0</v>
      </c>
      <c r="D110" s="1" t="s">
        <v>636</v>
      </c>
      <c r="E110" s="4" t="s">
        <v>0</v>
      </c>
      <c r="F110" s="1" t="s">
        <v>732</v>
      </c>
      <c r="G110" s="2" t="s">
        <v>731</v>
      </c>
      <c r="H110" s="3"/>
      <c r="I110" s="3"/>
      <c r="J110" s="1" t="s">
        <v>644</v>
      </c>
      <c r="K110" s="2" t="s">
        <v>0</v>
      </c>
      <c r="L110" s="22" t="s">
        <v>732</v>
      </c>
      <c r="N110" s="22"/>
      <c r="O110" s="1" t="s">
        <v>792</v>
      </c>
      <c r="P110" s="24" t="s">
        <v>690</v>
      </c>
    </row>
    <row r="111" spans="1:16" ht="24" customHeight="1" x14ac:dyDescent="0.25">
      <c r="A111" s="1" t="s">
        <v>120</v>
      </c>
      <c r="B111" s="1" t="s">
        <v>675</v>
      </c>
      <c r="C111" s="2" t="s">
        <v>0</v>
      </c>
      <c r="D111" s="22" t="s">
        <v>689</v>
      </c>
      <c r="E111" s="4" t="s">
        <v>0</v>
      </c>
      <c r="F111" s="1" t="s">
        <v>732</v>
      </c>
      <c r="G111" s="2" t="s">
        <v>731</v>
      </c>
      <c r="H111" s="3"/>
      <c r="I111" s="3"/>
      <c r="J111" s="1" t="s">
        <v>787</v>
      </c>
      <c r="K111" s="2" t="s">
        <v>0</v>
      </c>
      <c r="L111" s="22" t="s">
        <v>732</v>
      </c>
      <c r="N111" s="22"/>
      <c r="O111" s="1" t="s">
        <v>793</v>
      </c>
      <c r="P111" s="24" t="s">
        <v>794</v>
      </c>
    </row>
    <row r="112" spans="1:16" ht="24" customHeight="1" x14ac:dyDescent="0.25">
      <c r="A112" s="1" t="s">
        <v>121</v>
      </c>
      <c r="B112" s="1" t="s">
        <v>675</v>
      </c>
      <c r="C112" s="2" t="s">
        <v>0</v>
      </c>
      <c r="D112" s="22" t="s">
        <v>784</v>
      </c>
      <c r="E112" s="2"/>
      <c r="F112" s="3"/>
      <c r="G112" s="4" t="s">
        <v>731</v>
      </c>
      <c r="H112" s="3"/>
      <c r="I112" s="3"/>
      <c r="J112" s="1" t="s">
        <v>698</v>
      </c>
      <c r="K112" s="2" t="s">
        <v>0</v>
      </c>
      <c r="L112" s="22" t="s">
        <v>689</v>
      </c>
      <c r="M112" s="22"/>
      <c r="N112" s="22"/>
      <c r="O112" s="1" t="s">
        <v>795</v>
      </c>
      <c r="P112" s="24" t="s">
        <v>796</v>
      </c>
    </row>
    <row r="113" spans="1:16" ht="24" customHeight="1" x14ac:dyDescent="0.25">
      <c r="A113" s="1" t="s">
        <v>122</v>
      </c>
      <c r="B113" s="1" t="s">
        <v>675</v>
      </c>
      <c r="C113" s="2" t="s">
        <v>0</v>
      </c>
      <c r="D113" s="1" t="s">
        <v>688</v>
      </c>
      <c r="E113" s="2"/>
      <c r="F113" s="3"/>
      <c r="G113" s="4" t="s">
        <v>731</v>
      </c>
      <c r="H113" s="3"/>
      <c r="I113" s="3"/>
      <c r="J113" s="1" t="s">
        <v>698</v>
      </c>
      <c r="K113" s="2" t="s">
        <v>0</v>
      </c>
      <c r="L113" s="22" t="s">
        <v>636</v>
      </c>
      <c r="M113" s="22"/>
      <c r="N113" s="22"/>
      <c r="O113" s="1" t="s">
        <v>797</v>
      </c>
      <c r="P113" s="24" t="s">
        <v>796</v>
      </c>
    </row>
    <row r="114" spans="1:16" ht="24" customHeight="1" x14ac:dyDescent="0.25">
      <c r="A114" s="1" t="s">
        <v>123</v>
      </c>
      <c r="B114" s="1" t="s">
        <v>675</v>
      </c>
      <c r="C114" s="2" t="s">
        <v>0</v>
      </c>
      <c r="D114" s="1" t="s">
        <v>688</v>
      </c>
      <c r="E114" s="2"/>
      <c r="F114" s="3"/>
      <c r="G114" s="4" t="s">
        <v>731</v>
      </c>
      <c r="H114" s="3"/>
      <c r="I114" s="3"/>
      <c r="J114" s="1" t="s">
        <v>644</v>
      </c>
      <c r="K114" s="2" t="s">
        <v>0</v>
      </c>
      <c r="L114" s="22" t="s">
        <v>639</v>
      </c>
      <c r="M114" s="22"/>
      <c r="N114" s="22"/>
      <c r="O114" s="1" t="s">
        <v>798</v>
      </c>
      <c r="P114" s="24" t="s">
        <v>796</v>
      </c>
    </row>
    <row r="115" spans="1:16" ht="24" customHeight="1" x14ac:dyDescent="0.25">
      <c r="A115" s="1" t="s">
        <v>124</v>
      </c>
      <c r="B115" s="1" t="s">
        <v>675</v>
      </c>
      <c r="C115" s="2" t="s">
        <v>0</v>
      </c>
      <c r="D115" s="1" t="s">
        <v>688</v>
      </c>
      <c r="E115" s="2"/>
      <c r="F115" s="3"/>
      <c r="G115" s="4" t="s">
        <v>731</v>
      </c>
      <c r="H115" s="3"/>
      <c r="I115" s="3"/>
      <c r="J115" s="1" t="s">
        <v>678</v>
      </c>
      <c r="K115" s="2" t="s">
        <v>0</v>
      </c>
      <c r="L115" s="22" t="s">
        <v>689</v>
      </c>
      <c r="M115" s="22"/>
      <c r="N115" s="22"/>
      <c r="O115" s="1" t="s">
        <v>764</v>
      </c>
      <c r="P115" s="24" t="s">
        <v>690</v>
      </c>
    </row>
    <row r="116" spans="1:16" ht="24" customHeight="1" x14ac:dyDescent="0.25">
      <c r="A116" s="1" t="s">
        <v>125</v>
      </c>
      <c r="B116" s="1" t="s">
        <v>675</v>
      </c>
      <c r="C116" s="2" t="s">
        <v>0</v>
      </c>
      <c r="D116" s="22" t="s">
        <v>739</v>
      </c>
      <c r="E116" s="2"/>
      <c r="F116" s="3"/>
      <c r="G116" s="4" t="s">
        <v>731</v>
      </c>
      <c r="H116" s="3"/>
      <c r="I116" s="3"/>
      <c r="J116" s="1" t="s">
        <v>683</v>
      </c>
      <c r="K116" s="2" t="s">
        <v>0</v>
      </c>
      <c r="L116" s="22" t="s">
        <v>636</v>
      </c>
      <c r="M116" s="22"/>
      <c r="N116" s="22"/>
      <c r="O116" s="1" t="s">
        <v>766</v>
      </c>
      <c r="P116" s="24" t="s">
        <v>805</v>
      </c>
    </row>
    <row r="117" spans="1:16" ht="24" customHeight="1" x14ac:dyDescent="0.25">
      <c r="A117" s="1" t="s">
        <v>126</v>
      </c>
      <c r="B117" s="1" t="s">
        <v>675</v>
      </c>
      <c r="C117" s="2" t="s">
        <v>0</v>
      </c>
      <c r="D117" s="22" t="s">
        <v>739</v>
      </c>
      <c r="E117" s="2"/>
      <c r="F117" s="3"/>
      <c r="G117" s="4" t="s">
        <v>731</v>
      </c>
      <c r="H117" s="3"/>
      <c r="I117" s="3"/>
      <c r="J117" s="1" t="s">
        <v>698</v>
      </c>
      <c r="K117" s="2" t="s">
        <v>0</v>
      </c>
      <c r="L117" s="22" t="s">
        <v>688</v>
      </c>
      <c r="M117" s="22"/>
      <c r="N117" s="22"/>
      <c r="O117" s="1" t="s">
        <v>768</v>
      </c>
      <c r="P117" s="24" t="s">
        <v>805</v>
      </c>
    </row>
    <row r="118" spans="1:16" ht="24" customHeight="1" x14ac:dyDescent="0.25">
      <c r="A118" s="1" t="s">
        <v>127</v>
      </c>
      <c r="B118" s="1" t="s">
        <v>675</v>
      </c>
      <c r="C118" s="2" t="s">
        <v>0</v>
      </c>
      <c r="D118" s="1" t="s">
        <v>639</v>
      </c>
      <c r="E118" s="2"/>
      <c r="F118" s="3"/>
      <c r="G118" s="4" t="s">
        <v>731</v>
      </c>
      <c r="H118" s="3"/>
      <c r="I118" s="3"/>
      <c r="J118" s="1" t="s">
        <v>678</v>
      </c>
      <c r="K118" s="2" t="s">
        <v>0</v>
      </c>
      <c r="L118" s="22" t="s">
        <v>636</v>
      </c>
      <c r="M118" s="22"/>
      <c r="N118" s="22"/>
      <c r="O118" s="1" t="s">
        <v>764</v>
      </c>
      <c r="P118" s="24" t="s">
        <v>805</v>
      </c>
    </row>
    <row r="119" spans="1:16" ht="24" customHeight="1" x14ac:dyDescent="0.25">
      <c r="A119" s="1" t="s">
        <v>128</v>
      </c>
      <c r="B119" s="1" t="s">
        <v>675</v>
      </c>
      <c r="C119" s="2" t="s">
        <v>0</v>
      </c>
      <c r="D119" s="1" t="s">
        <v>639</v>
      </c>
      <c r="E119" s="4" t="s">
        <v>0</v>
      </c>
      <c r="F119" s="1" t="s">
        <v>732</v>
      </c>
      <c r="G119" s="2" t="s">
        <v>731</v>
      </c>
      <c r="H119" s="3"/>
      <c r="I119" s="3"/>
      <c r="J119" s="1" t="s">
        <v>698</v>
      </c>
      <c r="K119" s="2" t="s">
        <v>0</v>
      </c>
      <c r="L119" s="22" t="s">
        <v>732</v>
      </c>
      <c r="N119" s="22"/>
      <c r="O119" s="1" t="s">
        <v>792</v>
      </c>
      <c r="P119" s="24" t="s">
        <v>805</v>
      </c>
    </row>
    <row r="120" spans="1:16" ht="24" customHeight="1" x14ac:dyDescent="0.25">
      <c r="A120" s="1" t="s">
        <v>129</v>
      </c>
      <c r="B120" s="1" t="s">
        <v>675</v>
      </c>
      <c r="C120" s="2" t="s">
        <v>0</v>
      </c>
      <c r="D120" s="22" t="s">
        <v>649</v>
      </c>
      <c r="E120" s="2"/>
      <c r="F120" s="1"/>
      <c r="G120" s="4" t="s">
        <v>731</v>
      </c>
      <c r="H120" s="3"/>
      <c r="I120" s="3"/>
      <c r="J120" s="1" t="s">
        <v>698</v>
      </c>
      <c r="K120" s="2" t="s">
        <v>0</v>
      </c>
      <c r="L120" s="22" t="s">
        <v>639</v>
      </c>
      <c r="M120" s="22"/>
      <c r="N120" s="22"/>
      <c r="O120" s="1" t="s">
        <v>799</v>
      </c>
      <c r="P120" s="24" t="s">
        <v>806</v>
      </c>
    </row>
    <row r="121" spans="1:16" ht="24" customHeight="1" x14ac:dyDescent="0.25">
      <c r="A121" s="1" t="s">
        <v>130</v>
      </c>
      <c r="B121" s="1" t="s">
        <v>675</v>
      </c>
      <c r="C121" s="2" t="s">
        <v>0</v>
      </c>
      <c r="D121" s="22" t="s">
        <v>649</v>
      </c>
      <c r="E121" s="2"/>
      <c r="F121" s="1"/>
      <c r="G121" s="4" t="s">
        <v>731</v>
      </c>
      <c r="H121" s="3"/>
      <c r="I121" s="3"/>
      <c r="J121" s="1" t="s">
        <v>678</v>
      </c>
      <c r="K121" s="2" t="s">
        <v>0</v>
      </c>
      <c r="L121" s="22" t="s">
        <v>688</v>
      </c>
      <c r="M121" s="22"/>
      <c r="N121" s="22"/>
      <c r="O121" s="1" t="s">
        <v>800</v>
      </c>
      <c r="P121" s="24" t="s">
        <v>806</v>
      </c>
    </row>
    <row r="122" spans="1:16" ht="24" customHeight="1" x14ac:dyDescent="0.25">
      <c r="A122" s="1" t="s">
        <v>131</v>
      </c>
      <c r="B122" s="1" t="s">
        <v>675</v>
      </c>
      <c r="C122" s="2" t="s">
        <v>0</v>
      </c>
      <c r="D122" s="22" t="s">
        <v>649</v>
      </c>
      <c r="E122" s="2"/>
      <c r="F122" s="1"/>
      <c r="G122" s="4" t="s">
        <v>731</v>
      </c>
      <c r="H122" s="3"/>
      <c r="I122" s="3"/>
      <c r="J122" s="1" t="s">
        <v>648</v>
      </c>
      <c r="K122" s="2" t="s">
        <v>0</v>
      </c>
      <c r="L122" s="22" t="s">
        <v>636</v>
      </c>
      <c r="M122" s="22"/>
      <c r="N122" s="22"/>
      <c r="O122" s="1" t="s">
        <v>766</v>
      </c>
      <c r="P122" s="24" t="s">
        <v>805</v>
      </c>
    </row>
    <row r="123" spans="1:16" ht="24" customHeight="1" x14ac:dyDescent="0.25">
      <c r="A123" s="1" t="s">
        <v>132</v>
      </c>
      <c r="B123" s="1" t="s">
        <v>675</v>
      </c>
      <c r="C123" s="2" t="s">
        <v>0</v>
      </c>
      <c r="D123" s="22" t="s">
        <v>723</v>
      </c>
      <c r="E123" s="2"/>
      <c r="F123" s="1"/>
      <c r="G123" s="4" t="s">
        <v>731</v>
      </c>
      <c r="H123" s="3"/>
      <c r="I123" s="3"/>
      <c r="J123" s="1" t="s">
        <v>698</v>
      </c>
      <c r="K123" s="2" t="s">
        <v>0</v>
      </c>
      <c r="L123" s="22" t="s">
        <v>649</v>
      </c>
      <c r="M123" s="22"/>
      <c r="N123" s="22"/>
      <c r="O123" s="1" t="s">
        <v>768</v>
      </c>
      <c r="P123" s="24" t="s">
        <v>690</v>
      </c>
    </row>
    <row r="124" spans="1:16" ht="24" customHeight="1" x14ac:dyDescent="0.25">
      <c r="A124" s="1" t="s">
        <v>133</v>
      </c>
      <c r="B124" s="1" t="s">
        <v>675</v>
      </c>
      <c r="C124" s="2" t="s">
        <v>0</v>
      </c>
      <c r="D124" s="1" t="s">
        <v>733</v>
      </c>
      <c r="E124" s="2"/>
      <c r="F124" s="1"/>
      <c r="G124" s="4" t="s">
        <v>731</v>
      </c>
      <c r="H124" s="3"/>
      <c r="I124" s="3"/>
      <c r="J124" s="1" t="s">
        <v>788</v>
      </c>
      <c r="K124" s="2" t="s">
        <v>0</v>
      </c>
      <c r="L124" s="22" t="s">
        <v>636</v>
      </c>
      <c r="M124" s="22"/>
      <c r="N124" s="22"/>
      <c r="O124" s="1" t="s">
        <v>801</v>
      </c>
      <c r="P124" s="24" t="s">
        <v>807</v>
      </c>
    </row>
    <row r="125" spans="1:16" ht="24" customHeight="1" x14ac:dyDescent="0.25">
      <c r="A125" s="1" t="s">
        <v>134</v>
      </c>
      <c r="B125" s="1" t="s">
        <v>675</v>
      </c>
      <c r="C125" s="2" t="s">
        <v>0</v>
      </c>
      <c r="D125" s="1" t="s">
        <v>733</v>
      </c>
      <c r="E125" s="2"/>
      <c r="F125" s="1"/>
      <c r="G125" s="4" t="s">
        <v>731</v>
      </c>
      <c r="H125" s="3"/>
      <c r="I125" s="3"/>
      <c r="J125" s="1" t="s">
        <v>698</v>
      </c>
      <c r="K125" s="2" t="s">
        <v>0</v>
      </c>
      <c r="L125" s="22" t="s">
        <v>734</v>
      </c>
      <c r="M125" s="22"/>
      <c r="N125" s="22"/>
      <c r="O125" s="1" t="s">
        <v>801</v>
      </c>
      <c r="P125" s="24" t="s">
        <v>807</v>
      </c>
    </row>
    <row r="126" spans="1:16" ht="24" customHeight="1" x14ac:dyDescent="0.25">
      <c r="A126" s="1" t="s">
        <v>135</v>
      </c>
      <c r="B126" s="1" t="s">
        <v>675</v>
      </c>
      <c r="C126" s="2" t="s">
        <v>0</v>
      </c>
      <c r="D126" s="1" t="s">
        <v>741</v>
      </c>
      <c r="E126" s="2"/>
      <c r="F126" s="1"/>
      <c r="G126" s="4" t="s">
        <v>731</v>
      </c>
      <c r="H126" s="3"/>
      <c r="I126" s="3"/>
      <c r="J126" s="1" t="s">
        <v>789</v>
      </c>
      <c r="K126" s="2" t="s">
        <v>0</v>
      </c>
      <c r="L126" s="22" t="s">
        <v>636</v>
      </c>
      <c r="M126" s="22"/>
      <c r="N126" s="22"/>
      <c r="O126" s="1" t="s">
        <v>802</v>
      </c>
      <c r="P126" s="24" t="s">
        <v>807</v>
      </c>
    </row>
    <row r="127" spans="1:16" ht="24" customHeight="1" x14ac:dyDescent="0.25">
      <c r="A127" s="1" t="s">
        <v>136</v>
      </c>
      <c r="B127" s="1" t="s">
        <v>675</v>
      </c>
      <c r="C127" s="2" t="s">
        <v>0</v>
      </c>
      <c r="D127" s="1" t="s">
        <v>741</v>
      </c>
      <c r="E127" s="2"/>
      <c r="F127" s="1"/>
      <c r="G127" s="4" t="s">
        <v>731</v>
      </c>
      <c r="H127" s="3"/>
      <c r="I127" s="3"/>
      <c r="J127" s="1" t="s">
        <v>698</v>
      </c>
      <c r="K127" s="2" t="s">
        <v>0</v>
      </c>
      <c r="L127" s="22" t="s">
        <v>699</v>
      </c>
      <c r="M127" s="22"/>
      <c r="N127" s="22"/>
      <c r="O127" s="1" t="s">
        <v>803</v>
      </c>
      <c r="P127" s="24" t="s">
        <v>807</v>
      </c>
    </row>
    <row r="128" spans="1:16" ht="24" customHeight="1" x14ac:dyDescent="0.25">
      <c r="A128" s="1" t="s">
        <v>137</v>
      </c>
      <c r="B128" s="1" t="s">
        <v>644</v>
      </c>
      <c r="C128" s="2" t="s">
        <v>0</v>
      </c>
      <c r="D128" s="1" t="s">
        <v>636</v>
      </c>
      <c r="E128" s="2"/>
      <c r="F128" s="1"/>
      <c r="G128" s="4" t="s">
        <v>731</v>
      </c>
      <c r="H128" s="3"/>
      <c r="I128" s="3"/>
      <c r="J128" s="1" t="s">
        <v>675</v>
      </c>
      <c r="K128" s="2" t="s">
        <v>0</v>
      </c>
      <c r="L128" s="22" t="s">
        <v>689</v>
      </c>
      <c r="M128" s="22"/>
      <c r="N128" s="22"/>
      <c r="O128" s="1" t="s">
        <v>764</v>
      </c>
      <c r="P128" s="24" t="s">
        <v>756</v>
      </c>
    </row>
    <row r="129" spans="1:16" ht="24" customHeight="1" x14ac:dyDescent="0.25">
      <c r="A129" s="1" t="s">
        <v>138</v>
      </c>
      <c r="B129" s="1" t="s">
        <v>644</v>
      </c>
      <c r="C129" s="2" t="s">
        <v>0</v>
      </c>
      <c r="D129" s="1" t="s">
        <v>636</v>
      </c>
      <c r="E129" s="4" t="s">
        <v>0</v>
      </c>
      <c r="F129" s="1" t="s">
        <v>732</v>
      </c>
      <c r="G129" s="4" t="s">
        <v>731</v>
      </c>
      <c r="H129" s="3"/>
      <c r="I129" s="3"/>
      <c r="J129" s="1" t="s">
        <v>676</v>
      </c>
      <c r="K129" s="2" t="s">
        <v>0</v>
      </c>
      <c r="L129" s="22" t="s">
        <v>732</v>
      </c>
      <c r="M129" s="22"/>
      <c r="N129" s="22"/>
      <c r="O129" s="1" t="s">
        <v>804</v>
      </c>
      <c r="P129" s="24" t="s">
        <v>756</v>
      </c>
    </row>
    <row r="130" spans="1:16" ht="24" customHeight="1" x14ac:dyDescent="0.25">
      <c r="A130" s="1" t="s">
        <v>139</v>
      </c>
      <c r="B130" s="1" t="s">
        <v>644</v>
      </c>
      <c r="C130" s="2" t="s">
        <v>0</v>
      </c>
      <c r="D130" s="1" t="s">
        <v>689</v>
      </c>
      <c r="E130" s="2" t="s">
        <v>0</v>
      </c>
      <c r="F130" s="1" t="s">
        <v>687</v>
      </c>
      <c r="G130" s="4" t="s">
        <v>731</v>
      </c>
      <c r="H130" s="3"/>
      <c r="I130" s="3"/>
      <c r="J130" s="1" t="s">
        <v>677</v>
      </c>
      <c r="K130" s="2" t="s">
        <v>0</v>
      </c>
      <c r="L130" s="22" t="s">
        <v>687</v>
      </c>
      <c r="M130" s="2"/>
      <c r="N130" s="22"/>
      <c r="O130" s="1" t="s">
        <v>804</v>
      </c>
      <c r="P130" s="24" t="s">
        <v>756</v>
      </c>
    </row>
    <row r="131" spans="1:16" ht="24" customHeight="1" x14ac:dyDescent="0.25">
      <c r="A131" s="1" t="s">
        <v>140</v>
      </c>
      <c r="B131" s="1" t="s">
        <v>644</v>
      </c>
      <c r="C131" s="2" t="s">
        <v>0</v>
      </c>
      <c r="D131" s="22" t="s">
        <v>808</v>
      </c>
      <c r="E131" s="2"/>
      <c r="F131" s="22"/>
      <c r="G131" s="4" t="s">
        <v>731</v>
      </c>
      <c r="H131" s="3"/>
      <c r="I131" s="3"/>
      <c r="J131" s="1" t="s">
        <v>676</v>
      </c>
      <c r="K131" s="2" t="s">
        <v>0</v>
      </c>
      <c r="L131" s="22" t="s">
        <v>636</v>
      </c>
      <c r="M131" s="2"/>
      <c r="N131" s="22"/>
      <c r="O131" s="1" t="s">
        <v>766</v>
      </c>
      <c r="P131" s="24" t="s">
        <v>690</v>
      </c>
    </row>
    <row r="132" spans="1:16" ht="24" customHeight="1" x14ac:dyDescent="0.25">
      <c r="A132" s="1" t="s">
        <v>141</v>
      </c>
      <c r="B132" s="1" t="s">
        <v>644</v>
      </c>
      <c r="C132" s="2" t="s">
        <v>0</v>
      </c>
      <c r="D132" s="22" t="s">
        <v>784</v>
      </c>
      <c r="E132" s="2"/>
      <c r="F132" s="22"/>
      <c r="G132" s="4" t="s">
        <v>731</v>
      </c>
      <c r="H132" s="3"/>
      <c r="I132" s="3"/>
      <c r="J132" s="22" t="s">
        <v>813</v>
      </c>
      <c r="K132" s="2" t="s">
        <v>0</v>
      </c>
      <c r="L132" s="1" t="s">
        <v>689</v>
      </c>
      <c r="M132" s="2"/>
      <c r="N132" s="22"/>
      <c r="O132" s="1" t="s">
        <v>769</v>
      </c>
      <c r="P132" s="24" t="s">
        <v>796</v>
      </c>
    </row>
    <row r="133" spans="1:16" ht="24" customHeight="1" x14ac:dyDescent="0.25">
      <c r="A133" s="1" t="s">
        <v>142</v>
      </c>
      <c r="B133" s="1" t="s">
        <v>644</v>
      </c>
      <c r="C133" s="2" t="s">
        <v>0</v>
      </c>
      <c r="D133" s="22" t="s">
        <v>784</v>
      </c>
      <c r="E133" s="2"/>
      <c r="F133" s="22"/>
      <c r="G133" s="4" t="s">
        <v>731</v>
      </c>
      <c r="H133" s="3"/>
      <c r="I133" s="3"/>
      <c r="J133" s="1" t="s">
        <v>698</v>
      </c>
      <c r="K133" s="2" t="s">
        <v>0</v>
      </c>
      <c r="L133" s="22" t="s">
        <v>636</v>
      </c>
      <c r="M133" s="2" t="s">
        <v>0</v>
      </c>
      <c r="N133" s="1" t="s">
        <v>689</v>
      </c>
      <c r="O133" s="1" t="s">
        <v>847</v>
      </c>
      <c r="P133" s="24" t="s">
        <v>690</v>
      </c>
    </row>
    <row r="134" spans="1:16" ht="24" customHeight="1" x14ac:dyDescent="0.25">
      <c r="A134" s="1" t="s">
        <v>143</v>
      </c>
      <c r="B134" s="1" t="s">
        <v>644</v>
      </c>
      <c r="C134" s="2" t="s">
        <v>0</v>
      </c>
      <c r="D134" s="22" t="s">
        <v>688</v>
      </c>
      <c r="E134" s="2"/>
      <c r="F134" s="22"/>
      <c r="G134" s="4" t="s">
        <v>731</v>
      </c>
      <c r="H134" s="3"/>
      <c r="I134" s="3"/>
      <c r="J134" s="1" t="s">
        <v>698</v>
      </c>
      <c r="K134" s="2" t="s">
        <v>0</v>
      </c>
      <c r="L134" s="1" t="s">
        <v>689</v>
      </c>
      <c r="M134" s="2"/>
      <c r="N134" s="22"/>
      <c r="O134" s="1" t="s">
        <v>848</v>
      </c>
      <c r="P134" s="24" t="s">
        <v>806</v>
      </c>
    </row>
    <row r="135" spans="1:16" ht="24" customHeight="1" x14ac:dyDescent="0.25">
      <c r="A135" s="1" t="s">
        <v>144</v>
      </c>
      <c r="B135" s="1" t="s">
        <v>644</v>
      </c>
      <c r="C135" s="2" t="s">
        <v>0</v>
      </c>
      <c r="D135" s="22" t="s">
        <v>739</v>
      </c>
      <c r="E135" s="2"/>
      <c r="F135" s="22"/>
      <c r="G135" s="4" t="s">
        <v>731</v>
      </c>
      <c r="H135" s="3"/>
      <c r="I135" s="3"/>
      <c r="J135" s="1" t="s">
        <v>698</v>
      </c>
      <c r="K135" s="2" t="s">
        <v>0</v>
      </c>
      <c r="L135" s="22" t="s">
        <v>784</v>
      </c>
      <c r="M135" s="2"/>
      <c r="N135" s="22"/>
      <c r="O135" s="1" t="s">
        <v>849</v>
      </c>
      <c r="P135" s="24" t="s">
        <v>1031</v>
      </c>
    </row>
    <row r="136" spans="1:16" ht="24" customHeight="1" x14ac:dyDescent="0.25">
      <c r="A136" s="1" t="s">
        <v>145</v>
      </c>
      <c r="B136" s="1" t="s">
        <v>644</v>
      </c>
      <c r="C136" s="2" t="s">
        <v>0</v>
      </c>
      <c r="D136" s="22" t="s">
        <v>739</v>
      </c>
      <c r="E136" s="2"/>
      <c r="F136" s="22"/>
      <c r="G136" s="4" t="s">
        <v>731</v>
      </c>
      <c r="H136" s="3"/>
      <c r="I136" s="3"/>
      <c r="J136" s="1" t="s">
        <v>683</v>
      </c>
      <c r="K136" s="2" t="s">
        <v>0</v>
      </c>
      <c r="L136" s="1" t="s">
        <v>689</v>
      </c>
      <c r="M136" s="2"/>
      <c r="N136" s="22"/>
      <c r="O136" s="1" t="s">
        <v>766</v>
      </c>
      <c r="P136" s="24" t="s">
        <v>1032</v>
      </c>
    </row>
    <row r="137" spans="1:16" ht="24" customHeight="1" x14ac:dyDescent="0.25">
      <c r="A137" s="1" t="s">
        <v>146</v>
      </c>
      <c r="B137" s="1" t="s">
        <v>644</v>
      </c>
      <c r="C137" s="2" t="s">
        <v>0</v>
      </c>
      <c r="D137" s="22" t="s">
        <v>639</v>
      </c>
      <c r="E137" s="2"/>
      <c r="F137" s="22"/>
      <c r="G137" s="4" t="s">
        <v>731</v>
      </c>
      <c r="H137" s="3"/>
      <c r="I137" s="3"/>
      <c r="J137" s="1" t="s">
        <v>698</v>
      </c>
      <c r="K137" s="2" t="s">
        <v>0</v>
      </c>
      <c r="L137" s="22" t="s">
        <v>636</v>
      </c>
      <c r="M137" s="2"/>
      <c r="N137" s="22"/>
      <c r="O137" s="1" t="s">
        <v>765</v>
      </c>
      <c r="P137" s="24" t="s">
        <v>756</v>
      </c>
    </row>
    <row r="138" spans="1:16" ht="24" customHeight="1" x14ac:dyDescent="0.25">
      <c r="A138" s="1" t="s">
        <v>147</v>
      </c>
      <c r="B138" s="1" t="s">
        <v>644</v>
      </c>
      <c r="C138" s="2" t="s">
        <v>0</v>
      </c>
      <c r="D138" s="22" t="s">
        <v>639</v>
      </c>
      <c r="E138" s="2"/>
      <c r="F138" s="22"/>
      <c r="G138" s="4" t="s">
        <v>731</v>
      </c>
      <c r="H138" s="3"/>
      <c r="I138" s="3"/>
      <c r="J138" s="1" t="s">
        <v>698</v>
      </c>
      <c r="K138" s="2" t="s">
        <v>0</v>
      </c>
      <c r="L138" s="22" t="s">
        <v>814</v>
      </c>
      <c r="M138" s="2"/>
      <c r="N138" s="22"/>
      <c r="O138" s="1" t="s">
        <v>850</v>
      </c>
      <c r="P138" s="24" t="s">
        <v>756</v>
      </c>
    </row>
    <row r="139" spans="1:16" ht="24" customHeight="1" x14ac:dyDescent="0.25">
      <c r="A139" s="1" t="s">
        <v>148</v>
      </c>
      <c r="B139" s="1" t="s">
        <v>644</v>
      </c>
      <c r="C139" s="2" t="s">
        <v>0</v>
      </c>
      <c r="D139" s="22" t="s">
        <v>639</v>
      </c>
      <c r="E139" s="2"/>
      <c r="F139" s="22"/>
      <c r="G139" s="4" t="s">
        <v>731</v>
      </c>
      <c r="H139" s="3"/>
      <c r="I139" s="3"/>
      <c r="J139" s="1" t="s">
        <v>678</v>
      </c>
      <c r="K139" s="2" t="s">
        <v>0</v>
      </c>
      <c r="L139" s="1" t="s">
        <v>689</v>
      </c>
      <c r="M139" s="2"/>
      <c r="N139" s="22"/>
      <c r="O139" s="1" t="s">
        <v>851</v>
      </c>
      <c r="P139" s="24" t="s">
        <v>691</v>
      </c>
    </row>
    <row r="140" spans="1:16" ht="24" customHeight="1" x14ac:dyDescent="0.25">
      <c r="A140" s="1" t="s">
        <v>149</v>
      </c>
      <c r="B140" s="1" t="s">
        <v>644</v>
      </c>
      <c r="C140" s="2" t="s">
        <v>0</v>
      </c>
      <c r="D140" s="22" t="s">
        <v>649</v>
      </c>
      <c r="E140" s="2"/>
      <c r="F140" s="22"/>
      <c r="G140" s="4" t="s">
        <v>731</v>
      </c>
      <c r="H140" s="3"/>
      <c r="I140" s="3"/>
      <c r="J140" s="1" t="s">
        <v>648</v>
      </c>
      <c r="K140" s="2" t="s">
        <v>0</v>
      </c>
      <c r="L140" s="1" t="s">
        <v>689</v>
      </c>
      <c r="M140" s="2"/>
      <c r="N140" s="22"/>
      <c r="O140" s="1" t="s">
        <v>852</v>
      </c>
      <c r="P140" s="24" t="s">
        <v>796</v>
      </c>
    </row>
    <row r="141" spans="1:16" ht="24" customHeight="1" x14ac:dyDescent="0.25">
      <c r="A141" s="1" t="s">
        <v>150</v>
      </c>
      <c r="B141" s="1" t="s">
        <v>644</v>
      </c>
      <c r="C141" s="2" t="s">
        <v>0</v>
      </c>
      <c r="D141" s="22" t="s">
        <v>723</v>
      </c>
      <c r="E141" s="2"/>
      <c r="F141" s="22"/>
      <c r="G141" s="4" t="s">
        <v>731</v>
      </c>
      <c r="H141" s="3"/>
      <c r="I141" s="3"/>
      <c r="J141" s="1" t="s">
        <v>648</v>
      </c>
      <c r="K141" s="2" t="s">
        <v>0</v>
      </c>
      <c r="L141" s="22" t="s">
        <v>639</v>
      </c>
      <c r="M141" s="2" t="s">
        <v>0</v>
      </c>
      <c r="N141" s="1" t="s">
        <v>689</v>
      </c>
      <c r="O141" s="1" t="s">
        <v>853</v>
      </c>
      <c r="P141" s="24" t="s">
        <v>691</v>
      </c>
    </row>
    <row r="142" spans="1:16" ht="24" customHeight="1" x14ac:dyDescent="0.25">
      <c r="A142" s="1" t="s">
        <v>151</v>
      </c>
      <c r="B142" s="1" t="s">
        <v>644</v>
      </c>
      <c r="C142" s="2" t="s">
        <v>0</v>
      </c>
      <c r="D142" s="22" t="s">
        <v>812</v>
      </c>
      <c r="E142" s="2"/>
      <c r="F142" s="22"/>
      <c r="G142" s="4" t="s">
        <v>731</v>
      </c>
      <c r="H142" s="3"/>
      <c r="I142" s="3"/>
      <c r="J142" s="22" t="s">
        <v>696</v>
      </c>
      <c r="K142" s="2" t="s">
        <v>0</v>
      </c>
      <c r="L142" s="1" t="s">
        <v>689</v>
      </c>
      <c r="M142" s="2"/>
      <c r="N142" s="22"/>
      <c r="O142" s="1" t="s">
        <v>854</v>
      </c>
      <c r="P142" s="24" t="s">
        <v>691</v>
      </c>
    </row>
    <row r="143" spans="1:16" ht="24" customHeight="1" x14ac:dyDescent="0.25">
      <c r="A143" s="1" t="s">
        <v>152</v>
      </c>
      <c r="B143" s="1" t="s">
        <v>676</v>
      </c>
      <c r="C143" s="2" t="s">
        <v>0</v>
      </c>
      <c r="D143" s="22" t="s">
        <v>636</v>
      </c>
      <c r="E143" s="2"/>
      <c r="F143" s="22"/>
      <c r="G143" s="4" t="s">
        <v>731</v>
      </c>
      <c r="H143" s="3"/>
      <c r="I143" s="3"/>
      <c r="J143" s="1" t="s">
        <v>644</v>
      </c>
      <c r="K143" s="2" t="s">
        <v>0</v>
      </c>
      <c r="L143" s="1" t="s">
        <v>689</v>
      </c>
      <c r="M143" s="2"/>
      <c r="N143" s="22"/>
      <c r="O143" s="1" t="s">
        <v>855</v>
      </c>
      <c r="P143" s="24" t="s">
        <v>690</v>
      </c>
    </row>
    <row r="144" spans="1:16" ht="24" customHeight="1" x14ac:dyDescent="0.25">
      <c r="A144" s="1" t="s">
        <v>153</v>
      </c>
      <c r="B144" s="1" t="s">
        <v>676</v>
      </c>
      <c r="C144" s="2" t="s">
        <v>0</v>
      </c>
      <c r="D144" s="22" t="s">
        <v>649</v>
      </c>
      <c r="E144" s="2"/>
      <c r="F144" s="22"/>
      <c r="G144" s="4" t="s">
        <v>731</v>
      </c>
      <c r="H144" s="3"/>
      <c r="I144" s="3"/>
      <c r="J144" s="1" t="s">
        <v>648</v>
      </c>
      <c r="K144" s="2" t="s">
        <v>0</v>
      </c>
      <c r="L144" s="22" t="s">
        <v>636</v>
      </c>
      <c r="M144" s="2" t="s">
        <v>0</v>
      </c>
      <c r="N144" s="1" t="s">
        <v>689</v>
      </c>
      <c r="O144" s="1" t="s">
        <v>778</v>
      </c>
      <c r="P144" s="24" t="s">
        <v>691</v>
      </c>
    </row>
    <row r="145" spans="1:16" ht="24" customHeight="1" x14ac:dyDescent="0.25">
      <c r="A145" s="1" t="s">
        <v>154</v>
      </c>
      <c r="B145" s="1" t="s">
        <v>676</v>
      </c>
      <c r="C145" s="2" t="s">
        <v>0</v>
      </c>
      <c r="D145" s="22" t="s">
        <v>649</v>
      </c>
      <c r="E145" s="2"/>
      <c r="F145" s="22"/>
      <c r="G145" s="4" t="s">
        <v>731</v>
      </c>
      <c r="H145" s="3"/>
      <c r="I145" s="3"/>
      <c r="J145" s="1" t="s">
        <v>698</v>
      </c>
      <c r="K145" s="2" t="s">
        <v>0</v>
      </c>
      <c r="L145" s="22" t="s">
        <v>639</v>
      </c>
      <c r="M145" s="2" t="s">
        <v>0</v>
      </c>
      <c r="N145" s="1" t="s">
        <v>689</v>
      </c>
      <c r="O145" s="1" t="s">
        <v>856</v>
      </c>
      <c r="P145" s="24" t="s">
        <v>691</v>
      </c>
    </row>
    <row r="146" spans="1:16" ht="24" customHeight="1" x14ac:dyDescent="0.25">
      <c r="A146" s="1" t="s">
        <v>155</v>
      </c>
      <c r="B146" s="1" t="s">
        <v>676</v>
      </c>
      <c r="C146" s="2" t="s">
        <v>0</v>
      </c>
      <c r="D146" s="22" t="s">
        <v>649</v>
      </c>
      <c r="E146" s="2"/>
      <c r="F146" s="22"/>
      <c r="G146" s="4" t="s">
        <v>731</v>
      </c>
      <c r="H146" s="3"/>
      <c r="I146" s="3"/>
      <c r="J146" s="1" t="s">
        <v>683</v>
      </c>
      <c r="K146" s="2" t="s">
        <v>0</v>
      </c>
      <c r="L146" s="1" t="s">
        <v>689</v>
      </c>
      <c r="M146" s="2"/>
      <c r="N146" s="22"/>
      <c r="O146" s="1" t="s">
        <v>857</v>
      </c>
      <c r="P146" s="24" t="s">
        <v>691</v>
      </c>
    </row>
    <row r="147" spans="1:16" ht="24" customHeight="1" x14ac:dyDescent="0.25">
      <c r="A147" s="1" t="s">
        <v>156</v>
      </c>
      <c r="B147" s="1" t="s">
        <v>676</v>
      </c>
      <c r="C147" s="2" t="s">
        <v>0</v>
      </c>
      <c r="D147" s="22" t="s">
        <v>688</v>
      </c>
      <c r="E147" s="2"/>
      <c r="F147" s="22"/>
      <c r="G147" s="4" t="s">
        <v>731</v>
      </c>
      <c r="H147" s="3"/>
      <c r="I147" s="3"/>
      <c r="J147" s="1" t="s">
        <v>683</v>
      </c>
      <c r="K147" s="2" t="s">
        <v>0</v>
      </c>
      <c r="L147" s="1" t="s">
        <v>689</v>
      </c>
      <c r="M147" s="2" t="s">
        <v>0</v>
      </c>
      <c r="N147" s="22" t="s">
        <v>636</v>
      </c>
      <c r="O147" s="1" t="s">
        <v>858</v>
      </c>
      <c r="P147" s="24" t="s">
        <v>691</v>
      </c>
    </row>
    <row r="148" spans="1:16" ht="24" customHeight="1" x14ac:dyDescent="0.25">
      <c r="A148" s="1" t="s">
        <v>157</v>
      </c>
      <c r="B148" s="1" t="s">
        <v>676</v>
      </c>
      <c r="C148" s="2" t="s">
        <v>0</v>
      </c>
      <c r="D148" s="22" t="s">
        <v>688</v>
      </c>
      <c r="E148" s="2"/>
      <c r="F148" s="22"/>
      <c r="G148" s="4" t="s">
        <v>731</v>
      </c>
      <c r="H148" s="3"/>
      <c r="I148" s="3"/>
      <c r="J148" s="22" t="s">
        <v>680</v>
      </c>
      <c r="K148" s="2" t="s">
        <v>0</v>
      </c>
      <c r="L148" s="1" t="s">
        <v>689</v>
      </c>
      <c r="M148" s="2"/>
      <c r="N148" s="22"/>
      <c r="O148" s="1" t="s">
        <v>858</v>
      </c>
      <c r="P148" s="24" t="s">
        <v>691</v>
      </c>
    </row>
    <row r="149" spans="1:16" ht="24" customHeight="1" x14ac:dyDescent="0.25">
      <c r="A149" s="1" t="s">
        <v>158</v>
      </c>
      <c r="B149" s="1" t="s">
        <v>676</v>
      </c>
      <c r="C149" s="2" t="s">
        <v>0</v>
      </c>
      <c r="D149" s="22" t="s">
        <v>784</v>
      </c>
      <c r="E149" s="2"/>
      <c r="F149" s="22"/>
      <c r="G149" s="4" t="s">
        <v>731</v>
      </c>
      <c r="H149" s="3"/>
      <c r="I149" s="3"/>
      <c r="J149" s="1" t="s">
        <v>698</v>
      </c>
      <c r="K149" s="2" t="s">
        <v>0</v>
      </c>
      <c r="L149" s="1" t="s">
        <v>689</v>
      </c>
      <c r="M149" s="2" t="s">
        <v>0</v>
      </c>
      <c r="N149" s="1" t="s">
        <v>689</v>
      </c>
      <c r="O149" s="1" t="s">
        <v>852</v>
      </c>
      <c r="P149" s="24" t="s">
        <v>1031</v>
      </c>
    </row>
    <row r="150" spans="1:16" ht="24" customHeight="1" x14ac:dyDescent="0.25">
      <c r="A150" s="1" t="s">
        <v>159</v>
      </c>
      <c r="B150" s="1" t="s">
        <v>676</v>
      </c>
      <c r="C150" s="2" t="s">
        <v>0</v>
      </c>
      <c r="D150" s="22" t="s">
        <v>739</v>
      </c>
      <c r="E150" s="2"/>
      <c r="F150" s="22"/>
      <c r="G150" s="4" t="s">
        <v>731</v>
      </c>
      <c r="H150" s="3"/>
      <c r="I150" s="3"/>
      <c r="J150" s="1" t="s">
        <v>698</v>
      </c>
      <c r="K150" s="2" t="s">
        <v>0</v>
      </c>
      <c r="L150" s="22" t="s">
        <v>688</v>
      </c>
      <c r="M150" s="2" t="s">
        <v>0</v>
      </c>
      <c r="N150" s="1" t="s">
        <v>689</v>
      </c>
      <c r="O150" s="1" t="s">
        <v>858</v>
      </c>
      <c r="P150" s="24" t="s">
        <v>1031</v>
      </c>
    </row>
    <row r="151" spans="1:16" ht="24" customHeight="1" x14ac:dyDescent="0.25">
      <c r="A151" s="1" t="s">
        <v>160</v>
      </c>
      <c r="B151" s="1" t="s">
        <v>676</v>
      </c>
      <c r="C151" s="2" t="s">
        <v>0</v>
      </c>
      <c r="D151" s="22" t="s">
        <v>739</v>
      </c>
      <c r="E151" s="2"/>
      <c r="F151" s="22"/>
      <c r="G151" s="4" t="s">
        <v>731</v>
      </c>
      <c r="H151" s="3"/>
      <c r="I151" s="3"/>
      <c r="J151" s="1" t="s">
        <v>683</v>
      </c>
      <c r="K151" s="2" t="s">
        <v>0</v>
      </c>
      <c r="L151" s="22" t="s">
        <v>636</v>
      </c>
      <c r="M151" s="2" t="s">
        <v>0</v>
      </c>
      <c r="N151" s="1" t="s">
        <v>689</v>
      </c>
      <c r="O151" s="1" t="s">
        <v>858</v>
      </c>
      <c r="P151" s="24" t="s">
        <v>1031</v>
      </c>
    </row>
    <row r="152" spans="1:16" ht="24" customHeight="1" x14ac:dyDescent="0.25">
      <c r="A152" s="1" t="s">
        <v>161</v>
      </c>
      <c r="B152" s="1" t="s">
        <v>677</v>
      </c>
      <c r="C152" s="2" t="s">
        <v>0</v>
      </c>
      <c r="D152" s="22" t="s">
        <v>689</v>
      </c>
      <c r="E152" s="2"/>
      <c r="F152" s="22"/>
      <c r="G152" s="4" t="s">
        <v>731</v>
      </c>
      <c r="H152" s="3"/>
      <c r="I152" s="3"/>
      <c r="J152" s="1" t="s">
        <v>644</v>
      </c>
      <c r="K152" s="2" t="s">
        <v>0</v>
      </c>
      <c r="L152" s="1" t="s">
        <v>689</v>
      </c>
      <c r="M152" s="2" t="s">
        <v>0</v>
      </c>
      <c r="N152" s="1" t="s">
        <v>689</v>
      </c>
      <c r="O152" s="1" t="s">
        <v>859</v>
      </c>
      <c r="P152" s="24" t="s">
        <v>691</v>
      </c>
    </row>
    <row r="153" spans="1:16" ht="24" customHeight="1" x14ac:dyDescent="0.25">
      <c r="A153" s="1" t="s">
        <v>162</v>
      </c>
      <c r="B153" s="1" t="s">
        <v>677</v>
      </c>
      <c r="C153" s="2" t="s">
        <v>0</v>
      </c>
      <c r="D153" s="22" t="s">
        <v>784</v>
      </c>
      <c r="E153" s="2"/>
      <c r="F153" s="22"/>
      <c r="G153" s="4" t="s">
        <v>731</v>
      </c>
      <c r="H153" s="3"/>
      <c r="I153" s="3"/>
      <c r="J153" s="1" t="s">
        <v>680</v>
      </c>
      <c r="K153" s="2" t="s">
        <v>0</v>
      </c>
      <c r="L153" s="1" t="s">
        <v>689</v>
      </c>
      <c r="M153" s="2" t="s">
        <v>0</v>
      </c>
      <c r="N153" s="1" t="s">
        <v>689</v>
      </c>
      <c r="O153" s="1" t="s">
        <v>766</v>
      </c>
      <c r="P153" s="24" t="s">
        <v>756</v>
      </c>
    </row>
    <row r="154" spans="1:16" ht="24" customHeight="1" x14ac:dyDescent="0.25">
      <c r="A154" s="1" t="s">
        <v>163</v>
      </c>
      <c r="B154" s="1" t="s">
        <v>677</v>
      </c>
      <c r="C154" s="2" t="s">
        <v>0</v>
      </c>
      <c r="D154" s="22" t="s">
        <v>636</v>
      </c>
      <c r="E154" s="2"/>
      <c r="F154" s="22"/>
      <c r="G154" s="4" t="s">
        <v>731</v>
      </c>
      <c r="H154" s="3"/>
      <c r="I154" s="3"/>
      <c r="J154" s="1" t="s">
        <v>675</v>
      </c>
      <c r="K154" s="2" t="s">
        <v>0</v>
      </c>
      <c r="L154" s="1" t="s">
        <v>689</v>
      </c>
      <c r="M154" s="2" t="s">
        <v>0</v>
      </c>
      <c r="N154" s="1" t="s">
        <v>689</v>
      </c>
      <c r="O154" s="1" t="s">
        <v>727</v>
      </c>
      <c r="P154" s="24" t="s">
        <v>691</v>
      </c>
    </row>
    <row r="155" spans="1:16" ht="24" customHeight="1" x14ac:dyDescent="0.25">
      <c r="A155" s="1" t="s">
        <v>164</v>
      </c>
      <c r="B155" s="1" t="s">
        <v>677</v>
      </c>
      <c r="C155" s="2" t="s">
        <v>0</v>
      </c>
      <c r="D155" s="22" t="s">
        <v>688</v>
      </c>
      <c r="E155" s="2"/>
      <c r="F155" s="22"/>
      <c r="G155" s="4" t="s">
        <v>731</v>
      </c>
      <c r="H155" s="3"/>
      <c r="I155" s="3"/>
      <c r="J155" s="1" t="s">
        <v>698</v>
      </c>
      <c r="K155" s="2" t="s">
        <v>0</v>
      </c>
      <c r="L155" s="1" t="s">
        <v>689</v>
      </c>
      <c r="M155" s="2" t="s">
        <v>0</v>
      </c>
      <c r="N155" s="1" t="s">
        <v>689</v>
      </c>
      <c r="O155" s="1" t="s">
        <v>848</v>
      </c>
      <c r="P155" s="24" t="s">
        <v>806</v>
      </c>
    </row>
    <row r="156" spans="1:16" ht="24" customHeight="1" x14ac:dyDescent="0.25">
      <c r="A156" s="1" t="s">
        <v>165</v>
      </c>
      <c r="B156" s="1" t="s">
        <v>677</v>
      </c>
      <c r="C156" s="2" t="s">
        <v>0</v>
      </c>
      <c r="D156" s="22" t="s">
        <v>739</v>
      </c>
      <c r="E156" s="2"/>
      <c r="F156" s="22"/>
      <c r="G156" s="4" t="s">
        <v>731</v>
      </c>
      <c r="H156" s="3"/>
      <c r="I156" s="3"/>
      <c r="J156" s="1" t="s">
        <v>683</v>
      </c>
      <c r="K156" s="2" t="s">
        <v>0</v>
      </c>
      <c r="L156" s="1" t="s">
        <v>689</v>
      </c>
      <c r="M156" s="2" t="s">
        <v>0</v>
      </c>
      <c r="N156" s="1" t="s">
        <v>689</v>
      </c>
      <c r="O156" s="1" t="s">
        <v>860</v>
      </c>
      <c r="P156" s="24" t="s">
        <v>1031</v>
      </c>
    </row>
    <row r="157" spans="1:16" ht="24" customHeight="1" x14ac:dyDescent="0.25">
      <c r="A157" s="1" t="s">
        <v>166</v>
      </c>
      <c r="B157" s="1" t="s">
        <v>677</v>
      </c>
      <c r="C157" s="2" t="s">
        <v>0</v>
      </c>
      <c r="D157" s="22" t="s">
        <v>739</v>
      </c>
      <c r="E157" s="2"/>
      <c r="F157" s="22"/>
      <c r="G157" s="4" t="s">
        <v>731</v>
      </c>
      <c r="H157" s="3"/>
      <c r="I157" s="3"/>
      <c r="J157" s="1" t="s">
        <v>698</v>
      </c>
      <c r="K157" s="2" t="s">
        <v>0</v>
      </c>
      <c r="L157" s="22" t="s">
        <v>784</v>
      </c>
      <c r="M157" s="2" t="s">
        <v>0</v>
      </c>
      <c r="N157" s="1" t="s">
        <v>689</v>
      </c>
      <c r="O157" s="1" t="s">
        <v>852</v>
      </c>
      <c r="P157" s="24" t="s">
        <v>1031</v>
      </c>
    </row>
    <row r="158" spans="1:16" ht="24" customHeight="1" x14ac:dyDescent="0.25">
      <c r="A158" s="1" t="s">
        <v>167</v>
      </c>
      <c r="B158" s="1" t="s">
        <v>677</v>
      </c>
      <c r="C158" s="2" t="s">
        <v>0</v>
      </c>
      <c r="D158" s="22" t="s">
        <v>639</v>
      </c>
      <c r="E158" s="2"/>
      <c r="F158" s="22"/>
      <c r="G158" s="4" t="s">
        <v>731</v>
      </c>
      <c r="H158" s="3"/>
      <c r="I158" s="3"/>
      <c r="J158" s="1" t="s">
        <v>678</v>
      </c>
      <c r="K158" s="2" t="s">
        <v>0</v>
      </c>
      <c r="L158" s="1" t="s">
        <v>689</v>
      </c>
      <c r="M158" s="2" t="s">
        <v>0</v>
      </c>
      <c r="N158" s="1" t="s">
        <v>689</v>
      </c>
      <c r="O158" s="1" t="s">
        <v>860</v>
      </c>
      <c r="P158" s="24" t="s">
        <v>691</v>
      </c>
    </row>
    <row r="159" spans="1:16" ht="24" customHeight="1" x14ac:dyDescent="0.25">
      <c r="A159" s="1" t="s">
        <v>168</v>
      </c>
      <c r="B159" s="1" t="s">
        <v>677</v>
      </c>
      <c r="C159" s="2" t="s">
        <v>0</v>
      </c>
      <c r="D159" s="22" t="s">
        <v>649</v>
      </c>
      <c r="E159" s="2"/>
      <c r="F159" s="22"/>
      <c r="G159" s="4" t="s">
        <v>731</v>
      </c>
      <c r="H159" s="3"/>
      <c r="I159" s="3"/>
      <c r="J159" s="1" t="s">
        <v>648</v>
      </c>
      <c r="K159" s="2" t="s">
        <v>0</v>
      </c>
      <c r="L159" s="1" t="s">
        <v>689</v>
      </c>
      <c r="M159" s="2" t="s">
        <v>0</v>
      </c>
      <c r="N159" s="1" t="s">
        <v>689</v>
      </c>
      <c r="O159" s="1" t="s">
        <v>861</v>
      </c>
      <c r="P159" s="24" t="s">
        <v>806</v>
      </c>
    </row>
    <row r="160" spans="1:16" ht="24" customHeight="1" x14ac:dyDescent="0.25">
      <c r="A160" s="1" t="s">
        <v>169</v>
      </c>
      <c r="B160" s="1" t="s">
        <v>677</v>
      </c>
      <c r="C160" s="2" t="s">
        <v>0</v>
      </c>
      <c r="D160" s="22" t="s">
        <v>699</v>
      </c>
      <c r="E160" s="2"/>
      <c r="F160" s="22"/>
      <c r="G160" s="4" t="s">
        <v>731</v>
      </c>
      <c r="H160" s="3"/>
      <c r="I160" s="3"/>
      <c r="J160" s="1" t="s">
        <v>682</v>
      </c>
      <c r="K160" s="2" t="s">
        <v>0</v>
      </c>
      <c r="L160" s="1" t="s">
        <v>689</v>
      </c>
      <c r="M160" s="2" t="s">
        <v>0</v>
      </c>
      <c r="N160" s="1" t="s">
        <v>689</v>
      </c>
      <c r="O160" s="1" t="s">
        <v>862</v>
      </c>
      <c r="P160" s="24" t="s">
        <v>691</v>
      </c>
    </row>
    <row r="161" spans="1:16" ht="24" customHeight="1" x14ac:dyDescent="0.25">
      <c r="A161" s="1" t="s">
        <v>170</v>
      </c>
      <c r="B161" s="1" t="s">
        <v>677</v>
      </c>
      <c r="C161" s="2" t="s">
        <v>0</v>
      </c>
      <c r="D161" s="22" t="s">
        <v>812</v>
      </c>
      <c r="E161" s="2"/>
      <c r="F161" s="22"/>
      <c r="G161" s="4" t="s">
        <v>731</v>
      </c>
      <c r="H161" s="3"/>
      <c r="I161" s="3"/>
      <c r="J161" s="1" t="s">
        <v>696</v>
      </c>
      <c r="K161" s="2" t="s">
        <v>0</v>
      </c>
      <c r="L161" s="1" t="s">
        <v>689</v>
      </c>
      <c r="M161" s="2" t="s">
        <v>0</v>
      </c>
      <c r="N161" s="1" t="s">
        <v>689</v>
      </c>
      <c r="O161" s="1" t="s">
        <v>863</v>
      </c>
      <c r="P161" s="24" t="s">
        <v>691</v>
      </c>
    </row>
    <row r="162" spans="1:16" ht="24" customHeight="1" x14ac:dyDescent="0.25">
      <c r="A162" s="1" t="s">
        <v>171</v>
      </c>
      <c r="B162" s="1" t="s">
        <v>678</v>
      </c>
      <c r="C162" s="2" t="s">
        <v>0</v>
      </c>
      <c r="D162" s="22" t="s">
        <v>636</v>
      </c>
      <c r="E162" s="2" t="s">
        <v>0</v>
      </c>
      <c r="F162" s="22" t="s">
        <v>687</v>
      </c>
      <c r="G162" s="4" t="s">
        <v>731</v>
      </c>
      <c r="H162" s="3"/>
      <c r="I162" s="3"/>
      <c r="J162" s="1" t="s">
        <v>698</v>
      </c>
      <c r="K162" s="2" t="s">
        <v>0</v>
      </c>
      <c r="L162" s="22" t="s">
        <v>687</v>
      </c>
      <c r="M162" s="2"/>
      <c r="N162" s="22"/>
      <c r="O162" s="1" t="s">
        <v>792</v>
      </c>
      <c r="P162" s="24" t="s">
        <v>691</v>
      </c>
    </row>
    <row r="163" spans="1:16" ht="24" customHeight="1" x14ac:dyDescent="0.25">
      <c r="A163" s="1" t="s">
        <v>172</v>
      </c>
      <c r="B163" s="1" t="s">
        <v>678</v>
      </c>
      <c r="C163" s="2" t="s">
        <v>0</v>
      </c>
      <c r="D163" s="22" t="s">
        <v>689</v>
      </c>
      <c r="E163" s="2" t="s">
        <v>0</v>
      </c>
      <c r="F163" s="22" t="s">
        <v>687</v>
      </c>
      <c r="G163" s="4" t="s">
        <v>731</v>
      </c>
      <c r="H163" s="3"/>
      <c r="I163" s="3"/>
      <c r="J163" s="1" t="s">
        <v>698</v>
      </c>
      <c r="K163" s="2" t="s">
        <v>0</v>
      </c>
      <c r="L163" s="22" t="s">
        <v>636</v>
      </c>
      <c r="M163" s="2" t="s">
        <v>0</v>
      </c>
      <c r="N163" s="22" t="s">
        <v>687</v>
      </c>
      <c r="O163" s="1" t="s">
        <v>864</v>
      </c>
      <c r="P163" s="24" t="s">
        <v>691</v>
      </c>
    </row>
    <row r="164" spans="1:16" ht="24" customHeight="1" x14ac:dyDescent="0.25">
      <c r="A164" s="1" t="s">
        <v>173</v>
      </c>
      <c r="B164" s="1" t="s">
        <v>678</v>
      </c>
      <c r="C164" s="2" t="s">
        <v>0</v>
      </c>
      <c r="D164" s="22" t="s">
        <v>639</v>
      </c>
      <c r="E164" s="2" t="s">
        <v>0</v>
      </c>
      <c r="F164" s="22" t="s">
        <v>687</v>
      </c>
      <c r="G164" s="4" t="s">
        <v>731</v>
      </c>
      <c r="H164" s="3"/>
      <c r="I164" s="3"/>
      <c r="J164" s="1" t="s">
        <v>648</v>
      </c>
      <c r="K164" s="2" t="s">
        <v>0</v>
      </c>
      <c r="L164" s="22" t="s">
        <v>687</v>
      </c>
      <c r="M164" s="2"/>
      <c r="N164" s="22"/>
      <c r="O164" s="1" t="s">
        <v>792</v>
      </c>
      <c r="P164" s="24" t="s">
        <v>691</v>
      </c>
    </row>
    <row r="165" spans="1:16" ht="24" customHeight="1" x14ac:dyDescent="0.25">
      <c r="A165" s="1" t="s">
        <v>174</v>
      </c>
      <c r="B165" s="1" t="s">
        <v>678</v>
      </c>
      <c r="C165" s="2" t="s">
        <v>0</v>
      </c>
      <c r="D165" s="22" t="s">
        <v>649</v>
      </c>
      <c r="E165" s="2"/>
      <c r="F165" s="22"/>
      <c r="G165" s="4" t="s">
        <v>731</v>
      </c>
      <c r="H165" s="3"/>
      <c r="I165" s="3"/>
      <c r="J165" s="1" t="s">
        <v>648</v>
      </c>
      <c r="K165" s="2" t="s">
        <v>0</v>
      </c>
      <c r="L165" s="22" t="s">
        <v>639</v>
      </c>
      <c r="M165" s="2"/>
      <c r="N165" s="22"/>
      <c r="O165" s="1" t="s">
        <v>865</v>
      </c>
      <c r="P165" s="24" t="s">
        <v>691</v>
      </c>
    </row>
    <row r="166" spans="1:16" ht="24" customHeight="1" x14ac:dyDescent="0.25">
      <c r="A166" s="1" t="s">
        <v>175</v>
      </c>
      <c r="B166" s="1" t="s">
        <v>678</v>
      </c>
      <c r="C166" s="2" t="s">
        <v>0</v>
      </c>
      <c r="D166" s="22" t="s">
        <v>723</v>
      </c>
      <c r="E166" s="2"/>
      <c r="F166" s="22"/>
      <c r="G166" s="4" t="s">
        <v>731</v>
      </c>
      <c r="H166" s="3"/>
      <c r="I166" s="3"/>
      <c r="J166" s="1" t="s">
        <v>648</v>
      </c>
      <c r="K166" s="2" t="s">
        <v>0</v>
      </c>
      <c r="L166" s="22" t="s">
        <v>649</v>
      </c>
      <c r="M166" s="2"/>
      <c r="N166" s="22"/>
      <c r="O166" s="1" t="s">
        <v>853</v>
      </c>
      <c r="P166" s="24" t="s">
        <v>756</v>
      </c>
    </row>
    <row r="167" spans="1:16" ht="24" customHeight="1" x14ac:dyDescent="0.25">
      <c r="A167" s="1" t="s">
        <v>176</v>
      </c>
      <c r="B167" s="1" t="s">
        <v>678</v>
      </c>
      <c r="C167" s="2" t="s">
        <v>0</v>
      </c>
      <c r="D167" s="22" t="s">
        <v>814</v>
      </c>
      <c r="E167" s="2"/>
      <c r="F167" s="22"/>
      <c r="G167" s="4" t="s">
        <v>731</v>
      </c>
      <c r="H167" s="3"/>
      <c r="I167" s="3"/>
      <c r="J167" s="1" t="s">
        <v>675</v>
      </c>
      <c r="K167" s="2" t="s">
        <v>0</v>
      </c>
      <c r="L167" s="22" t="s">
        <v>639</v>
      </c>
      <c r="M167" s="2"/>
      <c r="N167" s="22"/>
      <c r="O167" s="1" t="s">
        <v>866</v>
      </c>
      <c r="P167" s="24" t="s">
        <v>691</v>
      </c>
    </row>
    <row r="168" spans="1:16" ht="24" customHeight="1" x14ac:dyDescent="0.25">
      <c r="A168" s="1" t="s">
        <v>177</v>
      </c>
      <c r="B168" s="1" t="s">
        <v>678</v>
      </c>
      <c r="C168" s="2" t="s">
        <v>0</v>
      </c>
      <c r="D168" s="22" t="s">
        <v>688</v>
      </c>
      <c r="E168" s="2"/>
      <c r="F168" s="22"/>
      <c r="G168" s="4" t="s">
        <v>731</v>
      </c>
      <c r="H168" s="3"/>
      <c r="I168" s="3"/>
      <c r="J168" s="1" t="s">
        <v>698</v>
      </c>
      <c r="K168" s="2" t="s">
        <v>0</v>
      </c>
      <c r="L168" s="22" t="s">
        <v>639</v>
      </c>
      <c r="M168" s="2"/>
      <c r="N168" s="22"/>
      <c r="O168" s="1" t="s">
        <v>764</v>
      </c>
      <c r="P168" s="24" t="s">
        <v>756</v>
      </c>
    </row>
    <row r="169" spans="1:16" ht="24" customHeight="1" x14ac:dyDescent="0.25">
      <c r="A169" s="1" t="s">
        <v>178</v>
      </c>
      <c r="B169" s="1" t="s">
        <v>678</v>
      </c>
      <c r="C169" s="2" t="s">
        <v>0</v>
      </c>
      <c r="D169" s="22" t="s">
        <v>688</v>
      </c>
      <c r="E169" s="2"/>
      <c r="F169" s="22"/>
      <c r="G169" s="4" t="s">
        <v>731</v>
      </c>
      <c r="H169" s="3"/>
      <c r="I169" s="3"/>
      <c r="J169" s="1" t="s">
        <v>648</v>
      </c>
      <c r="K169" s="2" t="s">
        <v>0</v>
      </c>
      <c r="L169" s="22" t="s">
        <v>636</v>
      </c>
      <c r="M169" s="2"/>
      <c r="N169" s="22"/>
      <c r="O169" s="1" t="s">
        <v>867</v>
      </c>
      <c r="P169" s="24" t="s">
        <v>690</v>
      </c>
    </row>
    <row r="170" spans="1:16" ht="24" customHeight="1" x14ac:dyDescent="0.25">
      <c r="A170" s="1" t="s">
        <v>179</v>
      </c>
      <c r="B170" s="1" t="s">
        <v>678</v>
      </c>
      <c r="C170" s="2" t="s">
        <v>0</v>
      </c>
      <c r="D170" s="22" t="s">
        <v>738</v>
      </c>
      <c r="E170" s="2"/>
      <c r="F170" s="22"/>
      <c r="G170" s="4" t="s">
        <v>731</v>
      </c>
      <c r="H170" s="3"/>
      <c r="I170" s="3"/>
      <c r="J170" s="1" t="s">
        <v>680</v>
      </c>
      <c r="K170" s="2" t="s">
        <v>0</v>
      </c>
      <c r="L170" s="22" t="s">
        <v>639</v>
      </c>
      <c r="M170" s="2"/>
      <c r="N170" s="22"/>
      <c r="O170" s="1" t="s">
        <v>868</v>
      </c>
      <c r="P170" s="24" t="s">
        <v>796</v>
      </c>
    </row>
    <row r="171" spans="1:16" ht="24" customHeight="1" x14ac:dyDescent="0.25">
      <c r="A171" s="1" t="s">
        <v>180</v>
      </c>
      <c r="B171" s="1" t="s">
        <v>678</v>
      </c>
      <c r="C171" s="2" t="s">
        <v>0</v>
      </c>
      <c r="D171" s="22" t="s">
        <v>738</v>
      </c>
      <c r="E171" s="2"/>
      <c r="F171" s="22"/>
      <c r="G171" s="4" t="s">
        <v>731</v>
      </c>
      <c r="H171" s="3"/>
      <c r="I171" s="3"/>
      <c r="J171" s="1" t="s">
        <v>698</v>
      </c>
      <c r="K171" s="2" t="s">
        <v>0</v>
      </c>
      <c r="L171" s="22" t="s">
        <v>688</v>
      </c>
      <c r="M171" s="2"/>
      <c r="N171" s="22"/>
      <c r="O171" s="1" t="s">
        <v>869</v>
      </c>
      <c r="P171" s="24" t="s">
        <v>691</v>
      </c>
    </row>
    <row r="172" spans="1:16" ht="24" customHeight="1" x14ac:dyDescent="0.25">
      <c r="A172" s="1" t="s">
        <v>181</v>
      </c>
      <c r="B172" s="1" t="s">
        <v>678</v>
      </c>
      <c r="C172" s="2" t="s">
        <v>0</v>
      </c>
      <c r="D172" s="22" t="s">
        <v>738</v>
      </c>
      <c r="E172" s="2"/>
      <c r="F172" s="22"/>
      <c r="G172" s="4" t="s">
        <v>731</v>
      </c>
      <c r="H172" s="3"/>
      <c r="I172" s="3"/>
      <c r="J172" s="1" t="s">
        <v>648</v>
      </c>
      <c r="K172" s="2" t="s">
        <v>0</v>
      </c>
      <c r="L172" s="22" t="s">
        <v>689</v>
      </c>
      <c r="M172" s="2"/>
      <c r="N172" s="22"/>
      <c r="O172" s="1" t="s">
        <v>856</v>
      </c>
      <c r="P172" s="24" t="s">
        <v>691</v>
      </c>
    </row>
    <row r="173" spans="1:16" ht="24" customHeight="1" x14ac:dyDescent="0.25">
      <c r="A173" s="1" t="s">
        <v>182</v>
      </c>
      <c r="B173" s="1" t="s">
        <v>678</v>
      </c>
      <c r="C173" s="2" t="s">
        <v>0</v>
      </c>
      <c r="D173" s="22" t="s">
        <v>739</v>
      </c>
      <c r="E173" s="2"/>
      <c r="F173" s="22"/>
      <c r="G173" s="4" t="s">
        <v>731</v>
      </c>
      <c r="H173" s="3"/>
      <c r="I173" s="3"/>
      <c r="J173" s="1" t="s">
        <v>698</v>
      </c>
      <c r="K173" s="2" t="s">
        <v>0</v>
      </c>
      <c r="L173" s="22" t="s">
        <v>649</v>
      </c>
      <c r="M173" s="2"/>
      <c r="N173" s="22"/>
      <c r="O173" s="1" t="s">
        <v>768</v>
      </c>
      <c r="P173" s="24" t="s">
        <v>756</v>
      </c>
    </row>
    <row r="174" spans="1:16" ht="24" customHeight="1" x14ac:dyDescent="0.25">
      <c r="A174" s="1" t="s">
        <v>183</v>
      </c>
      <c r="B174" s="1" t="s">
        <v>678</v>
      </c>
      <c r="C174" s="2" t="s">
        <v>0</v>
      </c>
      <c r="D174" s="22" t="s">
        <v>739</v>
      </c>
      <c r="E174" s="2"/>
      <c r="F174" s="22"/>
      <c r="G174" s="4" t="s">
        <v>731</v>
      </c>
      <c r="H174" s="3"/>
      <c r="I174" s="3"/>
      <c r="J174" s="1" t="s">
        <v>683</v>
      </c>
      <c r="K174" s="2" t="s">
        <v>0</v>
      </c>
      <c r="L174" s="22" t="s">
        <v>639</v>
      </c>
      <c r="M174" s="2"/>
      <c r="N174" s="22"/>
      <c r="O174" s="1" t="s">
        <v>870</v>
      </c>
      <c r="P174" s="24" t="s">
        <v>756</v>
      </c>
    </row>
    <row r="175" spans="1:16" ht="24" customHeight="1" x14ac:dyDescent="0.25">
      <c r="A175" s="1" t="s">
        <v>184</v>
      </c>
      <c r="B175" s="1" t="s">
        <v>678</v>
      </c>
      <c r="C175" s="2" t="s">
        <v>0</v>
      </c>
      <c r="D175" s="22" t="s">
        <v>653</v>
      </c>
      <c r="E175" s="2"/>
      <c r="F175" s="22"/>
      <c r="G175" s="4" t="s">
        <v>731</v>
      </c>
      <c r="H175" s="3"/>
      <c r="I175" s="3"/>
      <c r="J175" s="1" t="s">
        <v>685</v>
      </c>
      <c r="K175" s="2" t="s">
        <v>0</v>
      </c>
      <c r="L175" s="22" t="s">
        <v>639</v>
      </c>
      <c r="M175" s="2"/>
      <c r="N175" s="22"/>
      <c r="O175" s="1" t="s">
        <v>871</v>
      </c>
      <c r="P175" s="24" t="s">
        <v>691</v>
      </c>
    </row>
    <row r="176" spans="1:16" ht="24" customHeight="1" x14ac:dyDescent="0.25">
      <c r="A176" s="1" t="s">
        <v>185</v>
      </c>
      <c r="B176" s="1" t="s">
        <v>678</v>
      </c>
      <c r="C176" s="2" t="s">
        <v>0</v>
      </c>
      <c r="D176" s="22" t="s">
        <v>699</v>
      </c>
      <c r="E176" s="2"/>
      <c r="F176" s="22"/>
      <c r="G176" s="4" t="s">
        <v>731</v>
      </c>
      <c r="H176" s="3"/>
      <c r="I176" s="3"/>
      <c r="J176" s="1" t="s">
        <v>652</v>
      </c>
      <c r="K176" s="2" t="s">
        <v>0</v>
      </c>
      <c r="L176" s="22" t="s">
        <v>653</v>
      </c>
      <c r="M176" s="2"/>
      <c r="N176" s="22"/>
      <c r="O176" s="1" t="s">
        <v>872</v>
      </c>
      <c r="P176" s="24" t="s">
        <v>691</v>
      </c>
    </row>
    <row r="177" spans="1:16" ht="24" customHeight="1" x14ac:dyDescent="0.25">
      <c r="A177" s="1" t="s">
        <v>186</v>
      </c>
      <c r="B177" s="1" t="s">
        <v>678</v>
      </c>
      <c r="C177" s="2" t="s">
        <v>0</v>
      </c>
      <c r="D177" s="22" t="s">
        <v>654</v>
      </c>
      <c r="E177" s="2"/>
      <c r="F177" s="22"/>
      <c r="G177" s="4" t="s">
        <v>731</v>
      </c>
      <c r="H177" s="3"/>
      <c r="I177" s="3"/>
      <c r="J177" s="1" t="s">
        <v>652</v>
      </c>
      <c r="K177" s="2" t="s">
        <v>0</v>
      </c>
      <c r="L177" s="22" t="s">
        <v>639</v>
      </c>
      <c r="M177" s="2"/>
      <c r="N177" s="22"/>
      <c r="O177" s="1" t="s">
        <v>873</v>
      </c>
      <c r="P177" s="24" t="s">
        <v>807</v>
      </c>
    </row>
    <row r="178" spans="1:16" ht="24" customHeight="1" x14ac:dyDescent="0.25">
      <c r="A178" s="1" t="s">
        <v>187</v>
      </c>
      <c r="B178" s="1" t="s">
        <v>678</v>
      </c>
      <c r="C178" s="2" t="s">
        <v>0</v>
      </c>
      <c r="D178" s="22" t="s">
        <v>654</v>
      </c>
      <c r="E178" s="2"/>
      <c r="F178" s="22"/>
      <c r="G178" s="4" t="s">
        <v>731</v>
      </c>
      <c r="H178" s="3"/>
      <c r="I178" s="3"/>
      <c r="J178" s="1" t="s">
        <v>648</v>
      </c>
      <c r="K178" s="2" t="s">
        <v>0</v>
      </c>
      <c r="L178" s="22" t="s">
        <v>653</v>
      </c>
      <c r="M178" s="2"/>
      <c r="N178" s="22"/>
      <c r="O178" s="1" t="s">
        <v>874</v>
      </c>
      <c r="P178" s="24" t="s">
        <v>807</v>
      </c>
    </row>
    <row r="179" spans="1:16" ht="24" customHeight="1" x14ac:dyDescent="0.25">
      <c r="A179" s="1" t="s">
        <v>188</v>
      </c>
      <c r="B179" s="1" t="s">
        <v>678</v>
      </c>
      <c r="C179" s="2" t="s">
        <v>0</v>
      </c>
      <c r="D179" s="22" t="s">
        <v>812</v>
      </c>
      <c r="E179" s="2"/>
      <c r="F179" s="22"/>
      <c r="G179" s="4" t="s">
        <v>731</v>
      </c>
      <c r="H179" s="3"/>
      <c r="I179" s="3"/>
      <c r="J179" s="1" t="s">
        <v>696</v>
      </c>
      <c r="K179" s="2" t="s">
        <v>0</v>
      </c>
      <c r="L179" s="22" t="s">
        <v>639</v>
      </c>
      <c r="M179" s="2"/>
      <c r="N179" s="22"/>
      <c r="O179" s="1" t="s">
        <v>875</v>
      </c>
      <c r="P179" s="24" t="s">
        <v>691</v>
      </c>
    </row>
    <row r="180" spans="1:16" ht="24" customHeight="1" x14ac:dyDescent="0.25">
      <c r="A180" s="1" t="s">
        <v>189</v>
      </c>
      <c r="B180" s="1" t="s">
        <v>648</v>
      </c>
      <c r="C180" s="2" t="s">
        <v>0</v>
      </c>
      <c r="D180" s="1" t="s">
        <v>649</v>
      </c>
      <c r="E180" s="2" t="s">
        <v>0</v>
      </c>
      <c r="F180" s="22" t="s">
        <v>687</v>
      </c>
      <c r="G180" s="4" t="s">
        <v>731</v>
      </c>
      <c r="H180" s="3"/>
      <c r="I180" s="3"/>
      <c r="J180" s="1" t="s">
        <v>679</v>
      </c>
      <c r="K180" s="2" t="s">
        <v>0</v>
      </c>
      <c r="L180" s="22" t="s">
        <v>687</v>
      </c>
      <c r="M180" s="2"/>
      <c r="N180" s="22"/>
      <c r="O180" s="1" t="s">
        <v>876</v>
      </c>
      <c r="P180" s="24" t="s">
        <v>1033</v>
      </c>
    </row>
    <row r="181" spans="1:16" ht="24" customHeight="1" x14ac:dyDescent="0.25">
      <c r="A181" s="1" t="s">
        <v>190</v>
      </c>
      <c r="B181" s="1" t="s">
        <v>648</v>
      </c>
      <c r="C181" s="2" t="s">
        <v>0</v>
      </c>
      <c r="D181" s="22" t="s">
        <v>636</v>
      </c>
      <c r="E181" s="2"/>
      <c r="F181" s="22"/>
      <c r="G181" s="4" t="s">
        <v>731</v>
      </c>
      <c r="H181" s="3"/>
      <c r="I181" s="3"/>
      <c r="J181" s="1" t="s">
        <v>698</v>
      </c>
      <c r="K181" s="2" t="s">
        <v>0</v>
      </c>
      <c r="L181" s="22" t="s">
        <v>639</v>
      </c>
      <c r="M181" s="2"/>
      <c r="N181" s="22"/>
      <c r="O181" s="1" t="s">
        <v>774</v>
      </c>
      <c r="P181" s="24" t="s">
        <v>796</v>
      </c>
    </row>
    <row r="182" spans="1:16" ht="24" customHeight="1" x14ac:dyDescent="0.25">
      <c r="A182" s="1" t="s">
        <v>191</v>
      </c>
      <c r="B182" s="1" t="s">
        <v>648</v>
      </c>
      <c r="C182" s="2" t="s">
        <v>0</v>
      </c>
      <c r="D182" s="22" t="s">
        <v>689</v>
      </c>
      <c r="E182" s="2"/>
      <c r="F182" s="22"/>
      <c r="G182" s="4" t="s">
        <v>731</v>
      </c>
      <c r="H182" s="3"/>
      <c r="I182" s="3"/>
      <c r="J182" s="1" t="s">
        <v>698</v>
      </c>
      <c r="K182" s="2" t="s">
        <v>0</v>
      </c>
      <c r="L182" s="22" t="s">
        <v>688</v>
      </c>
      <c r="M182" s="2"/>
      <c r="N182" s="22"/>
      <c r="O182" s="1" t="s">
        <v>877</v>
      </c>
      <c r="P182" s="24" t="s">
        <v>690</v>
      </c>
    </row>
    <row r="183" spans="1:16" ht="24" customHeight="1" x14ac:dyDescent="0.25">
      <c r="A183" s="1" t="s">
        <v>192</v>
      </c>
      <c r="B183" s="1" t="s">
        <v>648</v>
      </c>
      <c r="C183" s="2" t="s">
        <v>0</v>
      </c>
      <c r="D183" s="22" t="s">
        <v>674</v>
      </c>
      <c r="E183" s="2"/>
      <c r="F183" s="22"/>
      <c r="G183" s="4" t="s">
        <v>731</v>
      </c>
      <c r="H183" s="3"/>
      <c r="I183" s="3"/>
      <c r="J183" s="1" t="s">
        <v>683</v>
      </c>
      <c r="K183" s="2" t="s">
        <v>0</v>
      </c>
      <c r="L183" s="22" t="s">
        <v>740</v>
      </c>
      <c r="M183" s="2" t="s">
        <v>0</v>
      </c>
      <c r="N183" s="22" t="s">
        <v>649</v>
      </c>
      <c r="O183" s="1" t="s">
        <v>878</v>
      </c>
      <c r="P183" s="24" t="s">
        <v>690</v>
      </c>
    </row>
    <row r="184" spans="1:16" ht="24" customHeight="1" x14ac:dyDescent="0.25">
      <c r="A184" s="1" t="s">
        <v>193</v>
      </c>
      <c r="B184" s="1" t="s">
        <v>648</v>
      </c>
      <c r="C184" s="2" t="s">
        <v>0</v>
      </c>
      <c r="D184" s="22" t="s">
        <v>688</v>
      </c>
      <c r="E184" s="2"/>
      <c r="F184" s="22"/>
      <c r="G184" s="4" t="s">
        <v>731</v>
      </c>
      <c r="H184" s="3"/>
      <c r="I184" s="3"/>
      <c r="J184" s="1" t="s">
        <v>698</v>
      </c>
      <c r="K184" s="2" t="s">
        <v>0</v>
      </c>
      <c r="L184" s="22" t="s">
        <v>649</v>
      </c>
      <c r="M184" s="2"/>
      <c r="N184" s="22"/>
      <c r="O184" s="1" t="s">
        <v>879</v>
      </c>
      <c r="P184" s="24" t="s">
        <v>796</v>
      </c>
    </row>
    <row r="185" spans="1:16" ht="24" customHeight="1" x14ac:dyDescent="0.25">
      <c r="A185" s="1" t="s">
        <v>194</v>
      </c>
      <c r="B185" s="1" t="s">
        <v>648</v>
      </c>
      <c r="C185" s="2" t="s">
        <v>0</v>
      </c>
      <c r="D185" s="22" t="s">
        <v>739</v>
      </c>
      <c r="E185" s="2"/>
      <c r="F185" s="22"/>
      <c r="G185" s="4" t="s">
        <v>731</v>
      </c>
      <c r="H185" s="3"/>
      <c r="I185" s="3"/>
      <c r="J185" s="1" t="s">
        <v>683</v>
      </c>
      <c r="K185" s="2" t="s">
        <v>0</v>
      </c>
      <c r="L185" s="22" t="s">
        <v>649</v>
      </c>
      <c r="M185" s="2"/>
      <c r="N185" s="22"/>
      <c r="O185" s="1" t="s">
        <v>880</v>
      </c>
      <c r="P185" s="24" t="s">
        <v>796</v>
      </c>
    </row>
    <row r="186" spans="1:16" ht="24" customHeight="1" x14ac:dyDescent="0.25">
      <c r="A186" s="1" t="s">
        <v>195</v>
      </c>
      <c r="B186" s="1" t="s">
        <v>648</v>
      </c>
      <c r="C186" s="2" t="s">
        <v>0</v>
      </c>
      <c r="D186" s="22" t="s">
        <v>739</v>
      </c>
      <c r="E186" s="2"/>
      <c r="F186" s="22"/>
      <c r="G186" s="4" t="s">
        <v>731</v>
      </c>
      <c r="H186" s="3"/>
      <c r="I186" s="3"/>
      <c r="J186" s="1" t="s">
        <v>698</v>
      </c>
      <c r="K186" s="2" t="s">
        <v>0</v>
      </c>
      <c r="L186" s="22" t="s">
        <v>723</v>
      </c>
      <c r="M186" s="2"/>
      <c r="N186" s="22"/>
      <c r="O186" s="1" t="s">
        <v>727</v>
      </c>
      <c r="P186" s="24" t="s">
        <v>690</v>
      </c>
    </row>
    <row r="187" spans="1:16" ht="24" customHeight="1" x14ac:dyDescent="0.25">
      <c r="A187" s="1" t="s">
        <v>196</v>
      </c>
      <c r="B187" s="1" t="s">
        <v>679</v>
      </c>
      <c r="C187" s="2" t="s">
        <v>0</v>
      </c>
      <c r="D187" s="22" t="s">
        <v>639</v>
      </c>
      <c r="E187" s="2"/>
      <c r="F187" s="22"/>
      <c r="G187" s="4" t="s">
        <v>731</v>
      </c>
      <c r="H187" s="3"/>
      <c r="I187" s="3"/>
      <c r="J187" s="1" t="s">
        <v>648</v>
      </c>
      <c r="K187" s="2" t="s">
        <v>0</v>
      </c>
      <c r="L187" s="22" t="s">
        <v>723</v>
      </c>
      <c r="M187" s="2"/>
      <c r="N187" s="22"/>
      <c r="O187" s="1" t="s">
        <v>766</v>
      </c>
      <c r="P187" s="24" t="s">
        <v>690</v>
      </c>
    </row>
    <row r="188" spans="1:16" ht="24" customHeight="1" x14ac:dyDescent="0.25">
      <c r="A188" s="1" t="s">
        <v>197</v>
      </c>
      <c r="B188" s="1" t="s">
        <v>679</v>
      </c>
      <c r="C188" s="2" t="s">
        <v>0</v>
      </c>
      <c r="D188" s="22" t="s">
        <v>649</v>
      </c>
      <c r="E188" s="2"/>
      <c r="F188" s="22"/>
      <c r="G188" s="4" t="s">
        <v>731</v>
      </c>
      <c r="H188" s="3"/>
      <c r="I188" s="3"/>
      <c r="J188" s="1" t="s">
        <v>648</v>
      </c>
      <c r="K188" s="2" t="s">
        <v>0</v>
      </c>
      <c r="L188" s="22" t="s">
        <v>649</v>
      </c>
      <c r="M188" s="2" t="s">
        <v>0</v>
      </c>
      <c r="N188" s="22" t="s">
        <v>649</v>
      </c>
      <c r="O188" s="1" t="s">
        <v>881</v>
      </c>
      <c r="P188" s="24" t="s">
        <v>690</v>
      </c>
    </row>
    <row r="189" spans="1:16" ht="24" customHeight="1" x14ac:dyDescent="0.25">
      <c r="A189" s="1" t="s">
        <v>198</v>
      </c>
      <c r="B189" s="1" t="s">
        <v>679</v>
      </c>
      <c r="C189" s="2" t="s">
        <v>0</v>
      </c>
      <c r="D189" s="22" t="s">
        <v>688</v>
      </c>
      <c r="E189" s="2"/>
      <c r="F189" s="22"/>
      <c r="G189" s="4" t="s">
        <v>731</v>
      </c>
      <c r="H189" s="3"/>
      <c r="I189" s="3"/>
      <c r="J189" s="1" t="s">
        <v>698</v>
      </c>
      <c r="K189" s="2" t="s">
        <v>0</v>
      </c>
      <c r="L189" s="22" t="s">
        <v>649</v>
      </c>
      <c r="M189" s="2" t="s">
        <v>0</v>
      </c>
      <c r="N189" s="22" t="s">
        <v>649</v>
      </c>
      <c r="O189" s="1" t="s">
        <v>882</v>
      </c>
      <c r="P189" s="24" t="s">
        <v>806</v>
      </c>
    </row>
    <row r="190" spans="1:16" ht="24" customHeight="1" x14ac:dyDescent="0.25">
      <c r="A190" s="1" t="s">
        <v>199</v>
      </c>
      <c r="B190" s="1" t="s">
        <v>679</v>
      </c>
      <c r="C190" s="2" t="s">
        <v>0</v>
      </c>
      <c r="D190" s="22" t="s">
        <v>739</v>
      </c>
      <c r="E190" s="2"/>
      <c r="F190" s="22"/>
      <c r="G190" s="4" t="s">
        <v>731</v>
      </c>
      <c r="H190" s="3"/>
      <c r="I190" s="3"/>
      <c r="J190" s="1" t="s">
        <v>683</v>
      </c>
      <c r="K190" s="2" t="s">
        <v>0</v>
      </c>
      <c r="L190" s="22" t="s">
        <v>649</v>
      </c>
      <c r="M190" s="2" t="s">
        <v>0</v>
      </c>
      <c r="N190" s="22" t="s">
        <v>649</v>
      </c>
      <c r="O190" s="1" t="s">
        <v>766</v>
      </c>
      <c r="P190" s="24" t="s">
        <v>1032</v>
      </c>
    </row>
    <row r="191" spans="1:16" ht="24" customHeight="1" x14ac:dyDescent="0.25">
      <c r="A191" s="1" t="s">
        <v>200</v>
      </c>
      <c r="B191" s="1" t="s">
        <v>700</v>
      </c>
      <c r="C191" s="2" t="s">
        <v>0</v>
      </c>
      <c r="D191" s="22" t="s">
        <v>649</v>
      </c>
      <c r="E191" s="2" t="s">
        <v>0</v>
      </c>
      <c r="F191" s="22" t="s">
        <v>687</v>
      </c>
      <c r="G191" s="4" t="s">
        <v>731</v>
      </c>
      <c r="H191" s="3"/>
      <c r="I191" s="3"/>
      <c r="J191" s="1" t="s">
        <v>737</v>
      </c>
      <c r="K191" s="2" t="s">
        <v>0</v>
      </c>
      <c r="L191" s="22" t="s">
        <v>687</v>
      </c>
      <c r="M191" s="2"/>
      <c r="N191" s="22"/>
      <c r="O191" s="1" t="s">
        <v>883</v>
      </c>
      <c r="P191" s="24" t="s">
        <v>691</v>
      </c>
    </row>
    <row r="192" spans="1:16" ht="24" customHeight="1" x14ac:dyDescent="0.25">
      <c r="A192" s="1" t="s">
        <v>201</v>
      </c>
      <c r="B192" s="1" t="s">
        <v>700</v>
      </c>
      <c r="C192" s="2" t="s">
        <v>0</v>
      </c>
      <c r="D192" s="1" t="s">
        <v>743</v>
      </c>
      <c r="E192" s="2"/>
      <c r="F192" s="22"/>
      <c r="G192" s="4" t="s">
        <v>731</v>
      </c>
      <c r="H192" s="3"/>
      <c r="I192" s="3"/>
      <c r="J192" s="1" t="s">
        <v>701</v>
      </c>
      <c r="K192" s="2" t="s">
        <v>0</v>
      </c>
      <c r="L192" s="22" t="s">
        <v>639</v>
      </c>
      <c r="M192" s="2"/>
      <c r="N192" s="22"/>
      <c r="O192" s="1" t="s">
        <v>853</v>
      </c>
      <c r="P192" s="24" t="s">
        <v>691</v>
      </c>
    </row>
    <row r="193" spans="1:16" ht="24" customHeight="1" x14ac:dyDescent="0.25">
      <c r="A193" s="1" t="s">
        <v>202</v>
      </c>
      <c r="B193" s="1" t="s">
        <v>700</v>
      </c>
      <c r="C193" s="2" t="s">
        <v>0</v>
      </c>
      <c r="D193" s="1" t="s">
        <v>723</v>
      </c>
      <c r="E193" s="2"/>
      <c r="F193" s="22"/>
      <c r="G193" s="4" t="s">
        <v>731</v>
      </c>
      <c r="H193" s="3"/>
      <c r="I193" s="3"/>
      <c r="J193" s="1" t="s">
        <v>737</v>
      </c>
      <c r="K193" s="2" t="s">
        <v>0</v>
      </c>
      <c r="L193" s="22" t="s">
        <v>639</v>
      </c>
      <c r="M193" s="2"/>
      <c r="N193" s="22"/>
      <c r="O193" s="1" t="s">
        <v>884</v>
      </c>
      <c r="P193" s="24" t="s">
        <v>691</v>
      </c>
    </row>
    <row r="194" spans="1:16" ht="24" customHeight="1" x14ac:dyDescent="0.25">
      <c r="A194" s="1" t="s">
        <v>203</v>
      </c>
      <c r="B194" s="1" t="s">
        <v>700</v>
      </c>
      <c r="C194" s="2" t="s">
        <v>0</v>
      </c>
      <c r="D194" s="22" t="s">
        <v>738</v>
      </c>
      <c r="E194" s="2"/>
      <c r="F194" s="22"/>
      <c r="G194" s="4" t="s">
        <v>731</v>
      </c>
      <c r="H194" s="3"/>
      <c r="I194" s="3"/>
      <c r="J194" s="1" t="s">
        <v>745</v>
      </c>
      <c r="K194" s="2" t="s">
        <v>0</v>
      </c>
      <c r="L194" s="22" t="s">
        <v>817</v>
      </c>
      <c r="M194" s="2"/>
      <c r="N194" s="22"/>
      <c r="O194" s="1" t="s">
        <v>751</v>
      </c>
      <c r="P194" s="24" t="s">
        <v>691</v>
      </c>
    </row>
    <row r="195" spans="1:16" ht="24" customHeight="1" x14ac:dyDescent="0.25">
      <c r="A195" s="1" t="s">
        <v>204</v>
      </c>
      <c r="B195" s="1" t="s">
        <v>700</v>
      </c>
      <c r="C195" s="2" t="s">
        <v>0</v>
      </c>
      <c r="D195" s="22" t="s">
        <v>738</v>
      </c>
      <c r="E195" s="2"/>
      <c r="F195" s="22"/>
      <c r="G195" s="4" t="s">
        <v>731</v>
      </c>
      <c r="H195" s="3"/>
      <c r="I195" s="3"/>
      <c r="J195" s="22" t="s">
        <v>738</v>
      </c>
      <c r="K195" s="2" t="s">
        <v>0</v>
      </c>
      <c r="L195" s="22" t="s">
        <v>639</v>
      </c>
      <c r="M195" s="2"/>
      <c r="N195" s="22"/>
      <c r="O195" s="1" t="s">
        <v>885</v>
      </c>
      <c r="P195" s="24" t="s">
        <v>691</v>
      </c>
    </row>
    <row r="196" spans="1:16" ht="24" customHeight="1" x14ac:dyDescent="0.25">
      <c r="A196" s="1" t="s">
        <v>205</v>
      </c>
      <c r="B196" s="1" t="s">
        <v>700</v>
      </c>
      <c r="C196" s="2" t="s">
        <v>0</v>
      </c>
      <c r="D196" s="22" t="s">
        <v>688</v>
      </c>
      <c r="E196" s="2" t="s">
        <v>0</v>
      </c>
      <c r="F196" s="22" t="s">
        <v>687</v>
      </c>
      <c r="G196" s="4" t="s">
        <v>731</v>
      </c>
      <c r="H196" s="3"/>
      <c r="I196" s="3"/>
      <c r="J196" s="1" t="s">
        <v>746</v>
      </c>
      <c r="K196" s="2" t="s">
        <v>0</v>
      </c>
      <c r="L196" s="22" t="s">
        <v>687</v>
      </c>
      <c r="M196" s="2"/>
      <c r="N196" s="22"/>
      <c r="O196" s="1" t="s">
        <v>792</v>
      </c>
      <c r="P196" s="24" t="s">
        <v>691</v>
      </c>
    </row>
    <row r="197" spans="1:16" ht="24" customHeight="1" x14ac:dyDescent="0.25">
      <c r="A197" s="1" t="s">
        <v>206</v>
      </c>
      <c r="B197" s="1" t="s">
        <v>700</v>
      </c>
      <c r="C197" s="2" t="s">
        <v>0</v>
      </c>
      <c r="D197" s="22" t="s">
        <v>739</v>
      </c>
      <c r="E197" s="2"/>
      <c r="F197" s="22"/>
      <c r="G197" s="4" t="s">
        <v>731</v>
      </c>
      <c r="H197" s="3"/>
      <c r="I197" s="3"/>
      <c r="J197" s="1" t="s">
        <v>746</v>
      </c>
      <c r="K197" s="2" t="s">
        <v>0</v>
      </c>
      <c r="L197" s="22" t="s">
        <v>639</v>
      </c>
      <c r="M197" s="2"/>
      <c r="N197" s="22"/>
      <c r="O197" s="1" t="s">
        <v>790</v>
      </c>
      <c r="P197" s="24" t="s">
        <v>691</v>
      </c>
    </row>
    <row r="198" spans="1:16" ht="24" customHeight="1" x14ac:dyDescent="0.25">
      <c r="A198" s="1" t="s">
        <v>207</v>
      </c>
      <c r="B198" s="1" t="s">
        <v>700</v>
      </c>
      <c r="C198" s="2" t="s">
        <v>0</v>
      </c>
      <c r="D198" s="22" t="s">
        <v>740</v>
      </c>
      <c r="E198" s="2"/>
      <c r="F198" s="22"/>
      <c r="G198" s="4" t="s">
        <v>731</v>
      </c>
      <c r="H198" s="3"/>
      <c r="I198" s="3"/>
      <c r="J198" s="1" t="s">
        <v>747</v>
      </c>
      <c r="K198" s="2" t="s">
        <v>0</v>
      </c>
      <c r="L198" s="22" t="s">
        <v>639</v>
      </c>
      <c r="M198" s="2"/>
      <c r="N198" s="22"/>
      <c r="O198" s="1" t="s">
        <v>766</v>
      </c>
      <c r="P198" s="24" t="s">
        <v>756</v>
      </c>
    </row>
    <row r="199" spans="1:16" ht="24" customHeight="1" x14ac:dyDescent="0.25">
      <c r="A199" s="1" t="s">
        <v>208</v>
      </c>
      <c r="B199" s="1" t="s">
        <v>700</v>
      </c>
      <c r="C199" s="2" t="s">
        <v>0</v>
      </c>
      <c r="D199" s="22" t="s">
        <v>699</v>
      </c>
      <c r="E199" s="2"/>
      <c r="F199" s="22"/>
      <c r="G199" s="4" t="s">
        <v>731</v>
      </c>
      <c r="H199" s="3"/>
      <c r="I199" s="3"/>
      <c r="J199" s="1" t="s">
        <v>749</v>
      </c>
      <c r="K199" s="2" t="s">
        <v>0</v>
      </c>
      <c r="L199" s="22" t="s">
        <v>653</v>
      </c>
      <c r="M199" s="2"/>
      <c r="N199" s="22"/>
      <c r="O199" s="1" t="s">
        <v>886</v>
      </c>
      <c r="P199" s="24" t="s">
        <v>691</v>
      </c>
    </row>
    <row r="200" spans="1:16" ht="24" customHeight="1" x14ac:dyDescent="0.25">
      <c r="A200" s="1" t="s">
        <v>209</v>
      </c>
      <c r="B200" s="1" t="s">
        <v>700</v>
      </c>
      <c r="C200" s="2" t="s">
        <v>0</v>
      </c>
      <c r="D200" s="22" t="s">
        <v>812</v>
      </c>
      <c r="E200" s="2"/>
      <c r="F200" s="22"/>
      <c r="G200" s="4" t="s">
        <v>731</v>
      </c>
      <c r="H200" s="3"/>
      <c r="I200" s="3"/>
      <c r="J200" s="1" t="s">
        <v>749</v>
      </c>
      <c r="K200" s="2" t="s">
        <v>0</v>
      </c>
      <c r="L200" s="22" t="s">
        <v>654</v>
      </c>
      <c r="M200" s="2"/>
      <c r="N200" s="22"/>
      <c r="O200" s="1" t="s">
        <v>776</v>
      </c>
      <c r="P200" s="24" t="s">
        <v>691</v>
      </c>
    </row>
    <row r="201" spans="1:16" ht="24" customHeight="1" x14ac:dyDescent="0.25">
      <c r="A201" s="1" t="s">
        <v>210</v>
      </c>
      <c r="B201" s="1" t="s">
        <v>701</v>
      </c>
      <c r="C201" s="2" t="s">
        <v>0</v>
      </c>
      <c r="D201" s="22" t="s">
        <v>639</v>
      </c>
      <c r="E201" s="2"/>
      <c r="F201" s="22"/>
      <c r="G201" s="4" t="s">
        <v>731</v>
      </c>
      <c r="H201" s="3"/>
      <c r="I201" s="3"/>
      <c r="J201" s="1" t="s">
        <v>700</v>
      </c>
      <c r="K201" s="2" t="s">
        <v>0</v>
      </c>
      <c r="L201" s="1" t="s">
        <v>649</v>
      </c>
      <c r="M201" s="2"/>
      <c r="N201" s="22"/>
      <c r="O201" s="1" t="s">
        <v>873</v>
      </c>
      <c r="P201" s="24" t="s">
        <v>691</v>
      </c>
    </row>
    <row r="202" spans="1:16" ht="24" customHeight="1" x14ac:dyDescent="0.25">
      <c r="A202" s="1" t="s">
        <v>211</v>
      </c>
      <c r="B202" s="1" t="s">
        <v>701</v>
      </c>
      <c r="C202" s="2" t="s">
        <v>0</v>
      </c>
      <c r="D202" s="1" t="s">
        <v>649</v>
      </c>
      <c r="E202" s="2" t="s">
        <v>0</v>
      </c>
      <c r="F202" s="22" t="s">
        <v>687</v>
      </c>
      <c r="G202" s="4" t="s">
        <v>731</v>
      </c>
      <c r="H202" s="3"/>
      <c r="I202" s="3"/>
      <c r="J202" s="1" t="s">
        <v>815</v>
      </c>
      <c r="K202" s="2" t="s">
        <v>0</v>
      </c>
      <c r="L202" s="22" t="s">
        <v>687</v>
      </c>
      <c r="M202" s="2"/>
      <c r="N202" s="22"/>
      <c r="O202" s="1" t="s">
        <v>887</v>
      </c>
      <c r="P202" s="24" t="s">
        <v>691</v>
      </c>
    </row>
    <row r="203" spans="1:16" ht="24" customHeight="1" x14ac:dyDescent="0.25">
      <c r="A203" s="1" t="s">
        <v>212</v>
      </c>
      <c r="B203" s="1" t="s">
        <v>701</v>
      </c>
      <c r="C203" s="2" t="s">
        <v>0</v>
      </c>
      <c r="D203" s="1" t="s">
        <v>723</v>
      </c>
      <c r="E203" s="2"/>
      <c r="F203" s="22"/>
      <c r="G203" s="4" t="s">
        <v>731</v>
      </c>
      <c r="H203" s="3"/>
      <c r="I203" s="3"/>
      <c r="J203" s="1" t="s">
        <v>737</v>
      </c>
      <c r="K203" s="2" t="s">
        <v>0</v>
      </c>
      <c r="L203" s="1" t="s">
        <v>649</v>
      </c>
      <c r="M203" s="2"/>
      <c r="N203" s="22"/>
      <c r="O203" s="1" t="s">
        <v>888</v>
      </c>
      <c r="P203" s="24" t="s">
        <v>691</v>
      </c>
    </row>
    <row r="204" spans="1:16" ht="24" customHeight="1" x14ac:dyDescent="0.25">
      <c r="A204" s="1" t="s">
        <v>213</v>
      </c>
      <c r="B204" s="1" t="s">
        <v>701</v>
      </c>
      <c r="C204" s="2" t="s">
        <v>0</v>
      </c>
      <c r="D204" s="22" t="s">
        <v>738</v>
      </c>
      <c r="E204" s="2"/>
      <c r="F204" s="22"/>
      <c r="G204" s="4" t="s">
        <v>731</v>
      </c>
      <c r="H204" s="3"/>
      <c r="I204" s="3"/>
      <c r="J204" s="1" t="s">
        <v>737</v>
      </c>
      <c r="K204" s="2" t="s">
        <v>0</v>
      </c>
      <c r="L204" s="22" t="s">
        <v>689</v>
      </c>
      <c r="M204" s="2"/>
      <c r="N204" s="22"/>
      <c r="O204" s="1" t="s">
        <v>727</v>
      </c>
      <c r="P204" s="24" t="s">
        <v>755</v>
      </c>
    </row>
    <row r="205" spans="1:16" ht="24" customHeight="1" x14ac:dyDescent="0.25">
      <c r="A205" s="1" t="s">
        <v>214</v>
      </c>
      <c r="B205" s="1" t="s">
        <v>701</v>
      </c>
      <c r="C205" s="2" t="s">
        <v>0</v>
      </c>
      <c r="D205" s="22" t="s">
        <v>739</v>
      </c>
      <c r="E205" s="2"/>
      <c r="F205" s="22"/>
      <c r="G205" s="4" t="s">
        <v>731</v>
      </c>
      <c r="H205" s="3"/>
      <c r="I205" s="3"/>
      <c r="K205" s="2" t="s">
        <v>0</v>
      </c>
      <c r="L205" s="1" t="s">
        <v>649</v>
      </c>
      <c r="M205" s="2"/>
      <c r="N205" s="22"/>
      <c r="O205" s="1" t="s">
        <v>770</v>
      </c>
      <c r="P205" s="24" t="s">
        <v>691</v>
      </c>
    </row>
    <row r="206" spans="1:16" ht="24" customHeight="1" x14ac:dyDescent="0.25">
      <c r="A206" s="1" t="s">
        <v>215</v>
      </c>
      <c r="B206" s="1" t="s">
        <v>701</v>
      </c>
      <c r="C206" s="2" t="s">
        <v>0</v>
      </c>
      <c r="D206" s="22" t="s">
        <v>740</v>
      </c>
      <c r="E206" s="2"/>
      <c r="F206" s="22"/>
      <c r="G206" s="4" t="s">
        <v>731</v>
      </c>
      <c r="H206" s="3"/>
      <c r="I206" s="3"/>
      <c r="J206" s="1" t="s">
        <v>747</v>
      </c>
      <c r="K206" s="2" t="s">
        <v>0</v>
      </c>
      <c r="L206" s="1" t="s">
        <v>649</v>
      </c>
      <c r="M206" s="2"/>
      <c r="N206" s="22"/>
      <c r="O206" s="1" t="s">
        <v>768</v>
      </c>
      <c r="P206" s="24" t="s">
        <v>691</v>
      </c>
    </row>
    <row r="207" spans="1:16" ht="24" customHeight="1" x14ac:dyDescent="0.25">
      <c r="A207" s="1" t="s">
        <v>216</v>
      </c>
      <c r="B207" s="1" t="s">
        <v>701</v>
      </c>
      <c r="C207" s="2" t="s">
        <v>0</v>
      </c>
      <c r="D207" s="22" t="s">
        <v>816</v>
      </c>
      <c r="E207" s="2"/>
      <c r="F207" s="22"/>
      <c r="G207" s="4" t="s">
        <v>731</v>
      </c>
      <c r="H207" s="3"/>
      <c r="I207" s="3"/>
      <c r="J207" s="1" t="s">
        <v>747</v>
      </c>
      <c r="K207" s="2" t="s">
        <v>0</v>
      </c>
      <c r="L207" s="22" t="s">
        <v>739</v>
      </c>
      <c r="M207" s="2"/>
      <c r="N207" s="22"/>
      <c r="O207" s="1" t="s">
        <v>889</v>
      </c>
      <c r="P207" s="24" t="s">
        <v>691</v>
      </c>
    </row>
    <row r="208" spans="1:16" ht="24" customHeight="1" x14ac:dyDescent="0.25">
      <c r="A208" s="1" t="s">
        <v>217</v>
      </c>
      <c r="B208" s="1" t="s">
        <v>737</v>
      </c>
      <c r="C208" s="2" t="s">
        <v>0</v>
      </c>
      <c r="D208" s="22" t="s">
        <v>639</v>
      </c>
      <c r="E208" s="2"/>
      <c r="F208" s="22"/>
      <c r="G208" s="4" t="s">
        <v>731</v>
      </c>
      <c r="H208" s="3"/>
      <c r="I208" s="3"/>
      <c r="J208" s="1" t="s">
        <v>701</v>
      </c>
      <c r="K208" s="2" t="s">
        <v>0</v>
      </c>
      <c r="L208" s="1" t="s">
        <v>649</v>
      </c>
      <c r="M208" s="2"/>
      <c r="N208" s="22"/>
      <c r="O208" s="1" t="s">
        <v>727</v>
      </c>
      <c r="P208" s="24" t="s">
        <v>691</v>
      </c>
    </row>
    <row r="209" spans="1:16" ht="24" customHeight="1" x14ac:dyDescent="0.25">
      <c r="A209" s="1" t="s">
        <v>218</v>
      </c>
      <c r="B209" s="1" t="s">
        <v>737</v>
      </c>
      <c r="C209" s="2" t="s">
        <v>0</v>
      </c>
      <c r="D209" s="22" t="s">
        <v>688</v>
      </c>
      <c r="E209" s="2"/>
      <c r="F209" s="22"/>
      <c r="G209" s="4" t="s">
        <v>731</v>
      </c>
      <c r="H209" s="3"/>
      <c r="I209" s="3"/>
      <c r="J209" s="1" t="s">
        <v>746</v>
      </c>
      <c r="K209" s="2" t="s">
        <v>0</v>
      </c>
      <c r="L209" s="1" t="s">
        <v>649</v>
      </c>
      <c r="M209" s="2"/>
      <c r="N209" s="22"/>
      <c r="O209" s="1" t="s">
        <v>727</v>
      </c>
      <c r="P209" s="24" t="s">
        <v>691</v>
      </c>
    </row>
    <row r="210" spans="1:16" ht="24" customHeight="1" x14ac:dyDescent="0.25">
      <c r="A210" s="1" t="s">
        <v>219</v>
      </c>
      <c r="B210" s="1" t="s">
        <v>737</v>
      </c>
      <c r="C210" s="2" t="s">
        <v>0</v>
      </c>
      <c r="D210" s="22" t="s">
        <v>688</v>
      </c>
      <c r="E210" s="2"/>
      <c r="F210" s="22"/>
      <c r="G210" s="4" t="s">
        <v>731</v>
      </c>
      <c r="H210" s="3"/>
      <c r="I210" s="3"/>
      <c r="J210" s="1" t="s">
        <v>747</v>
      </c>
      <c r="K210" s="2" t="s">
        <v>0</v>
      </c>
      <c r="L210" s="22" t="s">
        <v>639</v>
      </c>
      <c r="M210" s="2"/>
      <c r="N210" s="22"/>
      <c r="O210" s="1" t="s">
        <v>727</v>
      </c>
      <c r="P210" s="24" t="s">
        <v>691</v>
      </c>
    </row>
    <row r="211" spans="1:16" ht="24" customHeight="1" x14ac:dyDescent="0.25">
      <c r="A211" s="1" t="s">
        <v>220</v>
      </c>
      <c r="B211" s="1" t="s">
        <v>737</v>
      </c>
      <c r="C211" s="2" t="s">
        <v>0</v>
      </c>
      <c r="D211" s="22" t="s">
        <v>739</v>
      </c>
      <c r="E211" s="2"/>
      <c r="F211" s="22"/>
      <c r="G211" s="4" t="s">
        <v>731</v>
      </c>
      <c r="H211" s="3"/>
      <c r="I211" s="3"/>
      <c r="J211" s="1" t="s">
        <v>747</v>
      </c>
      <c r="K211" s="2" t="s">
        <v>0</v>
      </c>
      <c r="L211" s="1" t="s">
        <v>649</v>
      </c>
      <c r="M211" s="2"/>
      <c r="N211" s="22"/>
      <c r="O211" s="1" t="s">
        <v>856</v>
      </c>
      <c r="P211" s="24" t="s">
        <v>691</v>
      </c>
    </row>
    <row r="212" spans="1:16" ht="24" customHeight="1" x14ac:dyDescent="0.25">
      <c r="A212" s="1" t="s">
        <v>221</v>
      </c>
      <c r="B212" s="1" t="s">
        <v>737</v>
      </c>
      <c r="C212" s="2" t="s">
        <v>0</v>
      </c>
      <c r="D212" s="22" t="s">
        <v>739</v>
      </c>
      <c r="E212" s="2"/>
      <c r="F212" s="22"/>
      <c r="G212" s="4" t="s">
        <v>731</v>
      </c>
      <c r="H212" s="3"/>
      <c r="I212" s="3"/>
      <c r="J212" s="1" t="s">
        <v>746</v>
      </c>
      <c r="K212" s="2" t="s">
        <v>0</v>
      </c>
      <c r="L212" s="1" t="s">
        <v>723</v>
      </c>
      <c r="M212" s="2"/>
      <c r="N212" s="22"/>
      <c r="O212" s="1" t="s">
        <v>858</v>
      </c>
      <c r="P212" s="24" t="s">
        <v>691</v>
      </c>
    </row>
    <row r="213" spans="1:16" ht="24" customHeight="1" x14ac:dyDescent="0.25">
      <c r="A213" s="1" t="s">
        <v>222</v>
      </c>
      <c r="B213" s="1" t="s">
        <v>737</v>
      </c>
      <c r="C213" s="2" t="s">
        <v>0</v>
      </c>
      <c r="D213" s="22" t="s">
        <v>740</v>
      </c>
      <c r="E213" s="2"/>
      <c r="F213" s="22"/>
      <c r="G213" s="4" t="s">
        <v>731</v>
      </c>
      <c r="H213" s="3"/>
      <c r="I213" s="3"/>
      <c r="J213" s="1" t="s">
        <v>747</v>
      </c>
      <c r="K213" s="2" t="s">
        <v>0</v>
      </c>
      <c r="L213" s="1" t="s">
        <v>723</v>
      </c>
      <c r="M213" s="2"/>
      <c r="N213" s="22"/>
      <c r="O213" s="1" t="s">
        <v>768</v>
      </c>
      <c r="P213" s="24" t="s">
        <v>691</v>
      </c>
    </row>
    <row r="214" spans="1:16" ht="24" customHeight="1" x14ac:dyDescent="0.25">
      <c r="A214" s="1" t="s">
        <v>223</v>
      </c>
      <c r="B214" s="1" t="s">
        <v>737</v>
      </c>
      <c r="C214" s="2" t="s">
        <v>0</v>
      </c>
      <c r="D214" s="22" t="s">
        <v>653</v>
      </c>
      <c r="E214" s="2"/>
      <c r="F214" s="22"/>
      <c r="G214" s="4" t="s">
        <v>731</v>
      </c>
      <c r="H214" s="3"/>
      <c r="I214" s="3"/>
      <c r="J214" s="1" t="s">
        <v>749</v>
      </c>
      <c r="K214" s="2" t="s">
        <v>0</v>
      </c>
      <c r="L214" s="1" t="s">
        <v>649</v>
      </c>
      <c r="M214" s="2"/>
      <c r="N214" s="22"/>
      <c r="O214" s="1" t="s">
        <v>890</v>
      </c>
      <c r="P214" s="24" t="s">
        <v>691</v>
      </c>
    </row>
    <row r="215" spans="1:16" ht="24" customHeight="1" x14ac:dyDescent="0.25">
      <c r="A215" s="1" t="s">
        <v>224</v>
      </c>
      <c r="B215" s="1" t="s">
        <v>815</v>
      </c>
      <c r="C215" s="2" t="s">
        <v>0</v>
      </c>
      <c r="D215" s="22" t="s">
        <v>688</v>
      </c>
      <c r="E215" s="2"/>
      <c r="F215" s="22"/>
      <c r="G215" s="4" t="s">
        <v>731</v>
      </c>
      <c r="H215" s="3"/>
      <c r="I215" s="3"/>
      <c r="J215" s="1" t="s">
        <v>747</v>
      </c>
      <c r="K215" s="2" t="s">
        <v>0</v>
      </c>
      <c r="L215" s="1" t="s">
        <v>649</v>
      </c>
      <c r="M215" s="2"/>
      <c r="N215" s="22"/>
      <c r="O215" s="1" t="s">
        <v>860</v>
      </c>
      <c r="P215" s="24" t="s">
        <v>691</v>
      </c>
    </row>
    <row r="216" spans="1:16" ht="24" customHeight="1" x14ac:dyDescent="0.25">
      <c r="A216" s="1" t="s">
        <v>225</v>
      </c>
      <c r="B216" s="1" t="s">
        <v>815</v>
      </c>
      <c r="C216" s="2" t="s">
        <v>0</v>
      </c>
      <c r="D216" s="22" t="s">
        <v>639</v>
      </c>
      <c r="E216" s="2"/>
      <c r="F216" s="22"/>
      <c r="G216" s="4" t="s">
        <v>809</v>
      </c>
      <c r="H216" s="3"/>
      <c r="I216" s="3"/>
      <c r="J216" s="1" t="s">
        <v>700</v>
      </c>
      <c r="K216" s="2" t="s">
        <v>0</v>
      </c>
      <c r="L216" s="1" t="s">
        <v>649</v>
      </c>
      <c r="M216" s="2" t="s">
        <v>0</v>
      </c>
      <c r="N216" s="1" t="s">
        <v>649</v>
      </c>
      <c r="O216" s="1" t="s">
        <v>766</v>
      </c>
      <c r="P216" s="24" t="s">
        <v>691</v>
      </c>
    </row>
    <row r="217" spans="1:16" ht="24" customHeight="1" x14ac:dyDescent="0.25">
      <c r="A217" s="1" t="s">
        <v>226</v>
      </c>
      <c r="B217" s="1" t="s">
        <v>815</v>
      </c>
      <c r="C217" s="2" t="s">
        <v>0</v>
      </c>
      <c r="D217" s="22" t="s">
        <v>639</v>
      </c>
      <c r="E217" s="2"/>
      <c r="F217" s="22"/>
      <c r="G217" s="4" t="s">
        <v>731</v>
      </c>
      <c r="H217" s="3"/>
      <c r="I217" s="3"/>
      <c r="J217" s="1" t="s">
        <v>737</v>
      </c>
      <c r="K217" s="2" t="s">
        <v>0</v>
      </c>
      <c r="L217" s="1" t="s">
        <v>649</v>
      </c>
      <c r="M217" s="2"/>
      <c r="N217" s="22"/>
      <c r="O217" s="1" t="s">
        <v>847</v>
      </c>
      <c r="P217" s="24" t="s">
        <v>691</v>
      </c>
    </row>
    <row r="218" spans="1:16" ht="24" customHeight="1" x14ac:dyDescent="0.25">
      <c r="A218" s="1" t="s">
        <v>227</v>
      </c>
      <c r="B218" s="1" t="s">
        <v>815</v>
      </c>
      <c r="C218" s="2" t="s">
        <v>0</v>
      </c>
      <c r="D218" s="22" t="s">
        <v>689</v>
      </c>
      <c r="E218" s="2"/>
      <c r="F218" s="22"/>
      <c r="G218" s="4" t="s">
        <v>731</v>
      </c>
      <c r="H218" s="3"/>
      <c r="I218" s="3"/>
      <c r="J218" s="1" t="s">
        <v>701</v>
      </c>
      <c r="K218" s="2" t="s">
        <v>0</v>
      </c>
      <c r="L218" s="1" t="s">
        <v>649</v>
      </c>
      <c r="M218" s="2" t="s">
        <v>0</v>
      </c>
      <c r="N218" s="22" t="s">
        <v>689</v>
      </c>
      <c r="O218" s="1" t="s">
        <v>891</v>
      </c>
      <c r="P218" s="24" t="s">
        <v>691</v>
      </c>
    </row>
    <row r="219" spans="1:16" ht="24" customHeight="1" x14ac:dyDescent="0.25">
      <c r="A219" s="1" t="s">
        <v>228</v>
      </c>
      <c r="B219" s="1" t="s">
        <v>680</v>
      </c>
      <c r="C219" s="2" t="s">
        <v>0</v>
      </c>
      <c r="D219" s="22" t="s">
        <v>688</v>
      </c>
      <c r="E219" s="2"/>
      <c r="F219" s="22"/>
      <c r="G219" s="4"/>
      <c r="H219" s="3"/>
      <c r="I219" s="3"/>
      <c r="J219" s="1" t="s">
        <v>681</v>
      </c>
      <c r="K219" s="2" t="s">
        <v>0</v>
      </c>
      <c r="L219" s="22" t="s">
        <v>738</v>
      </c>
      <c r="M219" s="2"/>
      <c r="N219" s="22"/>
      <c r="O219" s="1" t="s">
        <v>869</v>
      </c>
      <c r="P219" s="24" t="s">
        <v>796</v>
      </c>
    </row>
    <row r="220" spans="1:16" ht="24" customHeight="1" x14ac:dyDescent="0.25">
      <c r="A220" s="1" t="s">
        <v>229</v>
      </c>
      <c r="B220" s="1" t="s">
        <v>680</v>
      </c>
      <c r="C220" s="2" t="s">
        <v>0</v>
      </c>
      <c r="D220" s="22" t="s">
        <v>738</v>
      </c>
      <c r="E220" s="2"/>
      <c r="F220" s="22"/>
      <c r="G220" s="4" t="s">
        <v>731</v>
      </c>
      <c r="H220" s="3"/>
      <c r="I220" s="3"/>
      <c r="J220" s="1" t="s">
        <v>681</v>
      </c>
      <c r="K220" s="2" t="s">
        <v>0</v>
      </c>
      <c r="L220" s="22" t="s">
        <v>688</v>
      </c>
      <c r="M220" s="2" t="s">
        <v>0</v>
      </c>
      <c r="N220" s="22" t="s">
        <v>689</v>
      </c>
      <c r="O220" s="1" t="s">
        <v>892</v>
      </c>
      <c r="P220" s="24" t="s">
        <v>796</v>
      </c>
    </row>
    <row r="221" spans="1:16" ht="24" customHeight="1" x14ac:dyDescent="0.25">
      <c r="A221" s="1" t="s">
        <v>230</v>
      </c>
      <c r="B221" s="1" t="s">
        <v>680</v>
      </c>
      <c r="C221" s="2" t="s">
        <v>0</v>
      </c>
      <c r="D221" s="22" t="s">
        <v>739</v>
      </c>
      <c r="E221" s="2"/>
      <c r="F221" s="22"/>
      <c r="G221" s="4" t="s">
        <v>731</v>
      </c>
      <c r="H221" s="3"/>
      <c r="I221" s="3"/>
      <c r="J221" s="1" t="s">
        <v>681</v>
      </c>
      <c r="K221" s="2" t="s">
        <v>0</v>
      </c>
      <c r="L221" s="22" t="s">
        <v>689</v>
      </c>
      <c r="M221" s="2" t="s">
        <v>0</v>
      </c>
      <c r="N221" s="1" t="s">
        <v>649</v>
      </c>
      <c r="O221" s="1" t="s">
        <v>893</v>
      </c>
      <c r="P221" s="24" t="s">
        <v>796</v>
      </c>
    </row>
    <row r="222" spans="1:16" ht="24" customHeight="1" x14ac:dyDescent="0.25">
      <c r="A222" s="1" t="s">
        <v>231</v>
      </c>
      <c r="B222" s="1" t="s">
        <v>680</v>
      </c>
      <c r="C222" s="2" t="s">
        <v>0</v>
      </c>
      <c r="D222" s="22" t="s">
        <v>739</v>
      </c>
      <c r="E222" s="2"/>
      <c r="F222" s="22"/>
      <c r="G222" s="4" t="s">
        <v>731</v>
      </c>
      <c r="H222" s="3"/>
      <c r="I222" s="3"/>
      <c r="J222" s="1" t="s">
        <v>683</v>
      </c>
      <c r="K222" s="2" t="s">
        <v>0</v>
      </c>
      <c r="L222" s="22" t="s">
        <v>738</v>
      </c>
      <c r="M222" s="2"/>
      <c r="N222" s="22"/>
      <c r="O222" s="1" t="s">
        <v>894</v>
      </c>
      <c r="P222" s="24" t="s">
        <v>796</v>
      </c>
    </row>
    <row r="223" spans="1:16" ht="24" customHeight="1" x14ac:dyDescent="0.25">
      <c r="A223" s="1" t="s">
        <v>232</v>
      </c>
      <c r="B223" s="1" t="s">
        <v>680</v>
      </c>
      <c r="C223" s="2" t="s">
        <v>0</v>
      </c>
      <c r="D223" s="22" t="s">
        <v>649</v>
      </c>
      <c r="E223" s="2"/>
      <c r="F223" s="22"/>
      <c r="G223" s="4" t="s">
        <v>731</v>
      </c>
      <c r="H223" s="3"/>
      <c r="I223" s="3"/>
      <c r="J223" s="1" t="s">
        <v>681</v>
      </c>
      <c r="K223" s="2" t="s">
        <v>0</v>
      </c>
      <c r="L223" s="22" t="s">
        <v>739</v>
      </c>
      <c r="M223" s="2"/>
      <c r="N223" s="22"/>
      <c r="O223" s="1" t="s">
        <v>895</v>
      </c>
      <c r="P223" s="24" t="s">
        <v>796</v>
      </c>
    </row>
    <row r="224" spans="1:16" ht="24" customHeight="1" x14ac:dyDescent="0.25">
      <c r="A224" s="1" t="s">
        <v>233</v>
      </c>
      <c r="B224" s="1" t="s">
        <v>680</v>
      </c>
      <c r="C224" s="2" t="s">
        <v>0</v>
      </c>
      <c r="D224" s="22" t="s">
        <v>649</v>
      </c>
      <c r="E224" s="2"/>
      <c r="F224" s="22"/>
      <c r="G224" s="4" t="s">
        <v>731</v>
      </c>
      <c r="H224" s="3"/>
      <c r="I224" s="3"/>
      <c r="J224" s="1" t="s">
        <v>648</v>
      </c>
      <c r="K224" s="2" t="s">
        <v>0</v>
      </c>
      <c r="L224" s="22" t="s">
        <v>738</v>
      </c>
      <c r="M224" s="2"/>
      <c r="N224" s="22"/>
      <c r="O224" s="1" t="s">
        <v>896</v>
      </c>
      <c r="P224" s="24" t="s">
        <v>796</v>
      </c>
    </row>
    <row r="225" spans="1:16" ht="24" customHeight="1" x14ac:dyDescent="0.25">
      <c r="A225" s="1" t="s">
        <v>234</v>
      </c>
      <c r="B225" s="1" t="s">
        <v>681</v>
      </c>
      <c r="C225" s="2" t="s">
        <v>0</v>
      </c>
      <c r="D225" s="22" t="s">
        <v>674</v>
      </c>
      <c r="E225" s="2"/>
      <c r="F225" s="22"/>
      <c r="G225" s="4" t="s">
        <v>731</v>
      </c>
      <c r="H225" s="3"/>
      <c r="I225" s="3"/>
      <c r="J225" s="1" t="s">
        <v>683</v>
      </c>
      <c r="K225" s="2" t="s">
        <v>0</v>
      </c>
      <c r="L225" s="22" t="s">
        <v>739</v>
      </c>
      <c r="M225" s="2" t="s">
        <v>0</v>
      </c>
      <c r="N225" s="22" t="s">
        <v>739</v>
      </c>
      <c r="O225" s="1" t="s">
        <v>897</v>
      </c>
      <c r="P225" s="24" t="s">
        <v>690</v>
      </c>
    </row>
    <row r="226" spans="1:16" ht="24" customHeight="1" x14ac:dyDescent="0.25">
      <c r="A226" s="1" t="s">
        <v>235</v>
      </c>
      <c r="B226" s="1" t="s">
        <v>681</v>
      </c>
      <c r="C226" s="2" t="s">
        <v>0</v>
      </c>
      <c r="D226" s="22" t="s">
        <v>723</v>
      </c>
      <c r="E226" s="2"/>
      <c r="F226" s="22"/>
      <c r="G226" s="4" t="s">
        <v>731</v>
      </c>
      <c r="H226" s="3"/>
      <c r="I226" s="3"/>
      <c r="J226" s="1" t="s">
        <v>683</v>
      </c>
      <c r="K226" s="2" t="s">
        <v>0</v>
      </c>
      <c r="L226" s="1" t="s">
        <v>649</v>
      </c>
      <c r="M226" s="2"/>
      <c r="N226" s="22"/>
      <c r="O226" s="1" t="s">
        <v>898</v>
      </c>
      <c r="P226" s="24" t="s">
        <v>690</v>
      </c>
    </row>
    <row r="227" spans="1:16" ht="24" customHeight="1" x14ac:dyDescent="0.25">
      <c r="A227" s="1" t="s">
        <v>236</v>
      </c>
      <c r="B227" s="1" t="s">
        <v>681</v>
      </c>
      <c r="C227" s="2" t="s">
        <v>0</v>
      </c>
      <c r="D227" s="22" t="s">
        <v>636</v>
      </c>
      <c r="E227" s="2" t="s">
        <v>0</v>
      </c>
      <c r="F227" s="22" t="s">
        <v>687</v>
      </c>
      <c r="G227" s="4" t="s">
        <v>731</v>
      </c>
      <c r="H227" s="3"/>
      <c r="I227" s="3"/>
      <c r="J227" s="1" t="s">
        <v>680</v>
      </c>
      <c r="K227" s="2" t="s">
        <v>0</v>
      </c>
      <c r="L227" s="22" t="s">
        <v>687</v>
      </c>
      <c r="M227" s="2"/>
      <c r="N227" s="22"/>
      <c r="O227" s="1" t="s">
        <v>899</v>
      </c>
      <c r="P227" s="24" t="s">
        <v>756</v>
      </c>
    </row>
    <row r="228" spans="1:16" ht="24" customHeight="1" x14ac:dyDescent="0.25">
      <c r="A228" s="1" t="s">
        <v>237</v>
      </c>
      <c r="B228" s="1" t="s">
        <v>745</v>
      </c>
      <c r="C228" s="2" t="s">
        <v>0</v>
      </c>
      <c r="D228" s="22" t="s">
        <v>738</v>
      </c>
      <c r="E228" s="2"/>
      <c r="F228" s="22"/>
      <c r="G228" s="4" t="s">
        <v>731</v>
      </c>
      <c r="H228" s="3"/>
      <c r="I228" s="3"/>
      <c r="J228" s="1" t="s">
        <v>746</v>
      </c>
      <c r="K228" s="2" t="s">
        <v>0</v>
      </c>
      <c r="L228" s="22" t="s">
        <v>689</v>
      </c>
      <c r="M228" s="2"/>
      <c r="N228" s="22"/>
      <c r="O228" s="1" t="s">
        <v>900</v>
      </c>
      <c r="P228" s="24" t="s">
        <v>691</v>
      </c>
    </row>
    <row r="229" spans="1:16" ht="24" customHeight="1" x14ac:dyDescent="0.25">
      <c r="A229" s="1" t="s">
        <v>238</v>
      </c>
      <c r="B229" s="1" t="s">
        <v>745</v>
      </c>
      <c r="C229" s="2" t="s">
        <v>0</v>
      </c>
      <c r="D229" s="22" t="s">
        <v>739</v>
      </c>
      <c r="E229" s="2"/>
      <c r="F229" s="22"/>
      <c r="G229" s="4" t="s">
        <v>731</v>
      </c>
      <c r="H229" s="3"/>
      <c r="I229" s="3"/>
      <c r="J229" s="1" t="s">
        <v>746</v>
      </c>
      <c r="K229" s="2" t="s">
        <v>0</v>
      </c>
      <c r="L229" s="22" t="s">
        <v>688</v>
      </c>
      <c r="M229" s="2"/>
      <c r="N229" s="22"/>
      <c r="O229" s="1" t="s">
        <v>766</v>
      </c>
      <c r="P229" s="24" t="s">
        <v>756</v>
      </c>
    </row>
    <row r="230" spans="1:16" ht="24" customHeight="1" x14ac:dyDescent="0.25">
      <c r="A230" s="1" t="s">
        <v>239</v>
      </c>
      <c r="B230" s="1" t="s">
        <v>745</v>
      </c>
      <c r="C230" s="2" t="s">
        <v>0</v>
      </c>
      <c r="D230" s="22" t="s">
        <v>740</v>
      </c>
      <c r="E230" s="2"/>
      <c r="F230" s="22"/>
      <c r="G230" s="4" t="s">
        <v>731</v>
      </c>
      <c r="H230" s="3"/>
      <c r="I230" s="3"/>
      <c r="J230" s="1" t="s">
        <v>747</v>
      </c>
      <c r="K230" s="2" t="s">
        <v>0</v>
      </c>
      <c r="L230" s="22" t="s">
        <v>688</v>
      </c>
      <c r="M230" s="2"/>
      <c r="N230" s="22"/>
      <c r="O230" s="1" t="s">
        <v>766</v>
      </c>
      <c r="P230" s="24" t="s">
        <v>756</v>
      </c>
    </row>
    <row r="231" spans="1:16" ht="24" customHeight="1" x14ac:dyDescent="0.25">
      <c r="A231" s="1" t="s">
        <v>240</v>
      </c>
      <c r="B231" s="1" t="s">
        <v>745</v>
      </c>
      <c r="C231" s="2" t="s">
        <v>0</v>
      </c>
      <c r="D231" s="22" t="s">
        <v>649</v>
      </c>
      <c r="E231" s="2"/>
      <c r="F231" s="22"/>
      <c r="G231" s="4" t="s">
        <v>731</v>
      </c>
      <c r="H231" s="3"/>
      <c r="I231" s="3"/>
      <c r="J231" s="1" t="s">
        <v>701</v>
      </c>
      <c r="K231" s="2" t="s">
        <v>0</v>
      </c>
      <c r="L231" s="22" t="s">
        <v>688</v>
      </c>
      <c r="M231" s="2"/>
      <c r="N231" s="22"/>
      <c r="O231" s="1" t="s">
        <v>766</v>
      </c>
      <c r="P231" s="24" t="s">
        <v>691</v>
      </c>
    </row>
    <row r="232" spans="1:16" ht="24" customHeight="1" x14ac:dyDescent="0.25">
      <c r="A232" s="1" t="s">
        <v>241</v>
      </c>
      <c r="B232" s="1" t="s">
        <v>745</v>
      </c>
      <c r="C232" s="2" t="s">
        <v>0</v>
      </c>
      <c r="D232" s="22" t="s">
        <v>723</v>
      </c>
      <c r="E232" s="2"/>
      <c r="F232" s="22"/>
      <c r="G232" s="4" t="s">
        <v>731</v>
      </c>
      <c r="H232" s="3"/>
      <c r="I232" s="3"/>
      <c r="J232" s="1" t="s">
        <v>737</v>
      </c>
      <c r="K232" s="2" t="s">
        <v>0</v>
      </c>
      <c r="L232" s="22" t="s">
        <v>688</v>
      </c>
      <c r="M232" s="2"/>
      <c r="N232" s="22"/>
      <c r="O232" s="1" t="s">
        <v>766</v>
      </c>
      <c r="P232" s="24" t="s">
        <v>756</v>
      </c>
    </row>
    <row r="233" spans="1:16" ht="24" customHeight="1" x14ac:dyDescent="0.25">
      <c r="A233" s="1" t="s">
        <v>242</v>
      </c>
      <c r="B233" s="1" t="s">
        <v>745</v>
      </c>
      <c r="C233" s="2" t="s">
        <v>0</v>
      </c>
      <c r="D233" s="22" t="s">
        <v>639</v>
      </c>
      <c r="E233" s="2"/>
      <c r="F233" s="22"/>
      <c r="G233" s="4" t="s">
        <v>731</v>
      </c>
      <c r="H233" s="3"/>
      <c r="I233" s="3"/>
      <c r="J233" s="1" t="s">
        <v>700</v>
      </c>
      <c r="K233" s="2" t="s">
        <v>0</v>
      </c>
      <c r="L233" s="22" t="s">
        <v>688</v>
      </c>
      <c r="M233" s="2"/>
      <c r="N233" s="22"/>
      <c r="O233" s="1" t="s">
        <v>766</v>
      </c>
      <c r="P233" s="24" t="s">
        <v>756</v>
      </c>
    </row>
    <row r="234" spans="1:16" ht="24" customHeight="1" x14ac:dyDescent="0.25">
      <c r="A234" s="1" t="s">
        <v>243</v>
      </c>
      <c r="B234" s="1" t="s">
        <v>683</v>
      </c>
      <c r="C234" s="2" t="s">
        <v>0</v>
      </c>
      <c r="D234" s="22" t="s">
        <v>688</v>
      </c>
      <c r="E234" s="2"/>
      <c r="F234" s="22"/>
      <c r="G234" s="4" t="s">
        <v>731</v>
      </c>
      <c r="H234" s="3"/>
      <c r="I234" s="3"/>
      <c r="J234" s="1" t="s">
        <v>681</v>
      </c>
      <c r="K234" s="2" t="s">
        <v>0</v>
      </c>
      <c r="L234" s="22" t="s">
        <v>739</v>
      </c>
      <c r="M234" s="2"/>
      <c r="N234" s="22"/>
      <c r="O234" s="1" t="s">
        <v>901</v>
      </c>
      <c r="P234" s="24" t="s">
        <v>796</v>
      </c>
    </row>
    <row r="235" spans="1:16" ht="24" customHeight="1" x14ac:dyDescent="0.25">
      <c r="A235" s="1" t="s">
        <v>244</v>
      </c>
      <c r="B235" s="1" t="s">
        <v>746</v>
      </c>
      <c r="C235" s="2" t="s">
        <v>0</v>
      </c>
      <c r="D235" s="22" t="s">
        <v>674</v>
      </c>
      <c r="E235" s="2"/>
      <c r="F235" s="22"/>
      <c r="G235" s="4" t="s">
        <v>731</v>
      </c>
      <c r="H235" s="3"/>
      <c r="I235" s="3"/>
      <c r="J235" s="1" t="s">
        <v>747</v>
      </c>
      <c r="K235" s="2" t="s">
        <v>0</v>
      </c>
      <c r="L235" s="1" t="s">
        <v>747</v>
      </c>
      <c r="M235" s="2" t="s">
        <v>0</v>
      </c>
      <c r="N235" s="22" t="s">
        <v>688</v>
      </c>
      <c r="O235" s="1" t="s">
        <v>770</v>
      </c>
      <c r="P235" s="24" t="s">
        <v>691</v>
      </c>
    </row>
    <row r="236" spans="1:16" ht="24" customHeight="1" x14ac:dyDescent="0.25">
      <c r="A236" s="1" t="s">
        <v>245</v>
      </c>
      <c r="B236" s="1" t="s">
        <v>746</v>
      </c>
      <c r="C236" s="2" t="s">
        <v>0</v>
      </c>
      <c r="D236" s="22" t="s">
        <v>688</v>
      </c>
      <c r="E236" s="2"/>
      <c r="F236" s="22"/>
      <c r="G236" s="4" t="s">
        <v>731</v>
      </c>
      <c r="H236" s="3"/>
      <c r="I236" s="3"/>
      <c r="J236" s="1" t="s">
        <v>745</v>
      </c>
      <c r="K236" s="2" t="s">
        <v>0</v>
      </c>
      <c r="L236" s="22" t="s">
        <v>739</v>
      </c>
      <c r="M236" s="2"/>
      <c r="N236" s="22"/>
      <c r="O236" s="1" t="s">
        <v>901</v>
      </c>
      <c r="P236" s="24" t="s">
        <v>796</v>
      </c>
    </row>
    <row r="237" spans="1:16" ht="24" customHeight="1" x14ac:dyDescent="0.25">
      <c r="A237" s="1" t="s">
        <v>246</v>
      </c>
      <c r="B237" s="1" t="s">
        <v>746</v>
      </c>
      <c r="C237" s="2" t="s">
        <v>0</v>
      </c>
      <c r="D237" s="1" t="s">
        <v>739</v>
      </c>
      <c r="E237" s="2"/>
      <c r="F237" s="22"/>
      <c r="G237" s="4" t="s">
        <v>731</v>
      </c>
      <c r="H237" s="3"/>
      <c r="I237" s="3"/>
      <c r="J237" s="1" t="s">
        <v>747</v>
      </c>
      <c r="K237" s="2" t="s">
        <v>0</v>
      </c>
      <c r="L237" s="22" t="s">
        <v>688</v>
      </c>
      <c r="M237" s="2"/>
      <c r="N237" s="22"/>
      <c r="O237" s="1" t="s">
        <v>902</v>
      </c>
      <c r="P237" s="24" t="s">
        <v>691</v>
      </c>
    </row>
    <row r="238" spans="1:16" ht="24" customHeight="1" x14ac:dyDescent="0.25">
      <c r="A238" s="1" t="s">
        <v>247</v>
      </c>
      <c r="B238" s="1" t="s">
        <v>746</v>
      </c>
      <c r="C238" s="2" t="s">
        <v>0</v>
      </c>
      <c r="D238" s="1" t="s">
        <v>740</v>
      </c>
      <c r="E238" s="2"/>
      <c r="F238" s="22"/>
      <c r="G238" s="4" t="s">
        <v>731</v>
      </c>
      <c r="H238" s="3"/>
      <c r="I238" s="3"/>
      <c r="J238" s="1" t="s">
        <v>747</v>
      </c>
      <c r="K238" s="2" t="s">
        <v>0</v>
      </c>
      <c r="L238" s="22" t="s">
        <v>739</v>
      </c>
      <c r="M238" s="2"/>
      <c r="N238" s="22"/>
      <c r="O238" s="1" t="s">
        <v>768</v>
      </c>
      <c r="P238" s="24" t="s">
        <v>691</v>
      </c>
    </row>
    <row r="239" spans="1:16" ht="24" customHeight="1" x14ac:dyDescent="0.25">
      <c r="A239" s="1" t="s">
        <v>248</v>
      </c>
      <c r="B239" s="1" t="s">
        <v>746</v>
      </c>
      <c r="C239" s="2" t="s">
        <v>0</v>
      </c>
      <c r="D239" s="22" t="s">
        <v>723</v>
      </c>
      <c r="E239" s="2"/>
      <c r="F239" s="22"/>
      <c r="G239" s="4" t="s">
        <v>731</v>
      </c>
      <c r="H239" s="3"/>
      <c r="I239" s="3"/>
      <c r="J239" s="1" t="s">
        <v>747</v>
      </c>
      <c r="K239" s="2" t="s">
        <v>0</v>
      </c>
      <c r="L239" s="22" t="s">
        <v>649</v>
      </c>
      <c r="M239" s="2"/>
      <c r="N239" s="22"/>
      <c r="O239" s="1" t="s">
        <v>903</v>
      </c>
      <c r="P239" s="24" t="s">
        <v>691</v>
      </c>
    </row>
    <row r="240" spans="1:16" ht="24" customHeight="1" x14ac:dyDescent="0.25">
      <c r="A240" s="1" t="s">
        <v>249</v>
      </c>
      <c r="B240" s="1" t="s">
        <v>746</v>
      </c>
      <c r="C240" s="2" t="s">
        <v>0</v>
      </c>
      <c r="D240" s="22" t="s">
        <v>653</v>
      </c>
      <c r="E240" s="2"/>
      <c r="F240" s="22"/>
      <c r="G240" s="4" t="s">
        <v>731</v>
      </c>
      <c r="H240" s="3"/>
      <c r="I240" s="3"/>
      <c r="J240" s="1" t="s">
        <v>749</v>
      </c>
      <c r="K240" s="2" t="s">
        <v>0</v>
      </c>
      <c r="L240" s="22" t="s">
        <v>688</v>
      </c>
      <c r="M240" s="2"/>
      <c r="N240" s="22"/>
      <c r="O240" s="1" t="s">
        <v>847</v>
      </c>
      <c r="P240" s="24" t="s">
        <v>691</v>
      </c>
    </row>
    <row r="241" spans="1:16" ht="24" customHeight="1" x14ac:dyDescent="0.25">
      <c r="A241" s="1" t="s">
        <v>250</v>
      </c>
      <c r="B241" s="1" t="s">
        <v>746</v>
      </c>
      <c r="C241" s="2" t="s">
        <v>0</v>
      </c>
      <c r="D241" s="22" t="s">
        <v>738</v>
      </c>
      <c r="E241" s="2"/>
      <c r="F241" s="22"/>
      <c r="G241" s="4" t="s">
        <v>731</v>
      </c>
      <c r="H241" s="3"/>
      <c r="I241" s="3"/>
      <c r="J241" s="1" t="s">
        <v>747</v>
      </c>
      <c r="K241" s="2" t="s">
        <v>0</v>
      </c>
      <c r="L241" s="22" t="s">
        <v>689</v>
      </c>
      <c r="M241" s="2"/>
      <c r="N241" s="22"/>
      <c r="O241" s="1" t="s">
        <v>904</v>
      </c>
      <c r="P241" s="24" t="s">
        <v>1031</v>
      </c>
    </row>
    <row r="242" spans="1:16" ht="24" customHeight="1" x14ac:dyDescent="0.25">
      <c r="A242" s="1" t="s">
        <v>251</v>
      </c>
      <c r="B242" s="1" t="s">
        <v>746</v>
      </c>
      <c r="C242" s="2" t="s">
        <v>0</v>
      </c>
      <c r="D242" s="22" t="s">
        <v>816</v>
      </c>
      <c r="E242" s="2"/>
      <c r="F242" s="22"/>
      <c r="G242" s="4" t="s">
        <v>731</v>
      </c>
      <c r="H242" s="3"/>
      <c r="I242" s="3"/>
      <c r="J242" s="1" t="s">
        <v>747</v>
      </c>
      <c r="K242" s="2" t="s">
        <v>0</v>
      </c>
      <c r="L242" s="22" t="s">
        <v>818</v>
      </c>
      <c r="M242" s="2"/>
      <c r="N242" s="22"/>
      <c r="O242" s="1" t="s">
        <v>870</v>
      </c>
      <c r="P242" s="24" t="s">
        <v>1031</v>
      </c>
    </row>
    <row r="243" spans="1:16" ht="24" customHeight="1" x14ac:dyDescent="0.25">
      <c r="A243" s="1" t="s">
        <v>252</v>
      </c>
      <c r="B243" s="1" t="s">
        <v>747</v>
      </c>
      <c r="C243" s="2" t="s">
        <v>0</v>
      </c>
      <c r="D243" s="22" t="s">
        <v>688</v>
      </c>
      <c r="F243" s="22"/>
      <c r="G243" s="4" t="s">
        <v>731</v>
      </c>
      <c r="H243" s="3"/>
      <c r="I243" s="3"/>
      <c r="J243" s="1" t="s">
        <v>746</v>
      </c>
      <c r="K243" s="2" t="s">
        <v>0</v>
      </c>
      <c r="L243" s="22" t="s">
        <v>739</v>
      </c>
      <c r="M243" s="2"/>
      <c r="N243" s="22"/>
      <c r="O243" s="1" t="s">
        <v>905</v>
      </c>
      <c r="P243" s="24" t="s">
        <v>691</v>
      </c>
    </row>
    <row r="244" spans="1:16" ht="24" customHeight="1" x14ac:dyDescent="0.25">
      <c r="A244" s="1" t="s">
        <v>253</v>
      </c>
      <c r="B244" s="1" t="s">
        <v>685</v>
      </c>
      <c r="C244" s="2" t="s">
        <v>0</v>
      </c>
      <c r="D244" s="22" t="s">
        <v>639</v>
      </c>
      <c r="E244" s="2"/>
      <c r="F244" s="22"/>
      <c r="G244" s="4" t="s">
        <v>731</v>
      </c>
      <c r="H244" s="3"/>
      <c r="I244" s="3"/>
      <c r="J244" s="1" t="s">
        <v>678</v>
      </c>
      <c r="K244" s="2" t="s">
        <v>0</v>
      </c>
      <c r="L244" s="22" t="s">
        <v>653</v>
      </c>
      <c r="M244" s="2"/>
      <c r="N244" s="22"/>
      <c r="O244" s="1" t="s">
        <v>906</v>
      </c>
      <c r="P244" s="24" t="s">
        <v>691</v>
      </c>
    </row>
    <row r="245" spans="1:16" ht="24" customHeight="1" x14ac:dyDescent="0.25">
      <c r="A245" s="1" t="s">
        <v>254</v>
      </c>
      <c r="B245" s="1" t="s">
        <v>685</v>
      </c>
      <c r="C245" s="2" t="s">
        <v>0</v>
      </c>
      <c r="D245" s="1" t="s">
        <v>649</v>
      </c>
      <c r="E245" s="2"/>
      <c r="F245" s="22"/>
      <c r="G245" s="4" t="s">
        <v>731</v>
      </c>
      <c r="H245" s="3"/>
      <c r="I245" s="3"/>
      <c r="J245" s="1" t="s">
        <v>648</v>
      </c>
      <c r="K245" s="2" t="s">
        <v>0</v>
      </c>
      <c r="L245" s="22" t="s">
        <v>653</v>
      </c>
      <c r="M245" s="2"/>
      <c r="N245" s="22"/>
      <c r="O245" s="1" t="s">
        <v>907</v>
      </c>
      <c r="P245" s="24" t="s">
        <v>796</v>
      </c>
    </row>
    <row r="246" spans="1:16" ht="24" customHeight="1" x14ac:dyDescent="0.25">
      <c r="A246" s="1" t="s">
        <v>255</v>
      </c>
      <c r="B246" s="1" t="s">
        <v>685</v>
      </c>
      <c r="C246" s="2" t="s">
        <v>0</v>
      </c>
      <c r="D246" s="22" t="s">
        <v>688</v>
      </c>
      <c r="E246" s="2"/>
      <c r="F246" s="22"/>
      <c r="G246" s="4" t="s">
        <v>731</v>
      </c>
      <c r="H246" s="3"/>
      <c r="I246" s="3"/>
      <c r="J246" s="1" t="s">
        <v>681</v>
      </c>
      <c r="K246" s="2" t="s">
        <v>0</v>
      </c>
      <c r="L246" s="22" t="s">
        <v>653</v>
      </c>
      <c r="M246" s="2"/>
      <c r="N246" s="22"/>
      <c r="O246" s="1" t="s">
        <v>761</v>
      </c>
      <c r="P246" s="24" t="s">
        <v>691</v>
      </c>
    </row>
    <row r="247" spans="1:16" ht="24" customHeight="1" x14ac:dyDescent="0.25">
      <c r="A247" s="1" t="s">
        <v>256</v>
      </c>
      <c r="B247" s="1" t="s">
        <v>685</v>
      </c>
      <c r="C247" s="2" t="s">
        <v>0</v>
      </c>
      <c r="D247" s="22" t="s">
        <v>699</v>
      </c>
      <c r="E247" s="2" t="s">
        <v>0</v>
      </c>
      <c r="F247" s="22" t="s">
        <v>687</v>
      </c>
      <c r="G247" s="4" t="s">
        <v>731</v>
      </c>
      <c r="H247" s="3"/>
      <c r="I247" s="3"/>
      <c r="J247" s="1" t="s">
        <v>695</v>
      </c>
      <c r="K247" s="2" t="s">
        <v>0</v>
      </c>
      <c r="L247" s="22" t="s">
        <v>687</v>
      </c>
      <c r="M247" s="2"/>
      <c r="N247" s="22"/>
      <c r="O247" s="1" t="s">
        <v>909</v>
      </c>
      <c r="P247" s="24" t="s">
        <v>691</v>
      </c>
    </row>
    <row r="248" spans="1:16" ht="24" customHeight="1" x14ac:dyDescent="0.25">
      <c r="A248" s="1" t="s">
        <v>257</v>
      </c>
      <c r="B248" s="1" t="s">
        <v>685</v>
      </c>
      <c r="C248" s="2" t="s">
        <v>0</v>
      </c>
      <c r="D248" s="22" t="s">
        <v>812</v>
      </c>
      <c r="E248" s="2"/>
      <c r="F248" s="22"/>
      <c r="G248" s="4" t="s">
        <v>731</v>
      </c>
      <c r="H248" s="3"/>
      <c r="I248" s="3"/>
      <c r="J248" s="1" t="s">
        <v>696</v>
      </c>
      <c r="K248" s="2" t="s">
        <v>0</v>
      </c>
      <c r="L248" s="22" t="s">
        <v>653</v>
      </c>
      <c r="M248" s="2"/>
      <c r="N248" s="22"/>
      <c r="O248" s="1" t="s">
        <v>910</v>
      </c>
      <c r="P248" s="24" t="s">
        <v>796</v>
      </c>
    </row>
    <row r="249" spans="1:16" ht="24" customHeight="1" x14ac:dyDescent="0.25">
      <c r="A249" s="1" t="s">
        <v>258</v>
      </c>
      <c r="B249" s="1" t="s">
        <v>748</v>
      </c>
      <c r="C249" s="2" t="s">
        <v>0</v>
      </c>
      <c r="D249" s="22" t="s">
        <v>738</v>
      </c>
      <c r="E249" s="2"/>
      <c r="F249" s="22"/>
      <c r="G249" s="4" t="s">
        <v>731</v>
      </c>
      <c r="H249" s="3"/>
      <c r="I249" s="3"/>
      <c r="J249" s="1" t="s">
        <v>749</v>
      </c>
      <c r="K249" s="2" t="s">
        <v>0</v>
      </c>
      <c r="L249" s="22" t="s">
        <v>689</v>
      </c>
      <c r="M249" s="2"/>
      <c r="N249" s="22"/>
      <c r="O249" s="1" t="s">
        <v>911</v>
      </c>
      <c r="P249" s="24" t="s">
        <v>691</v>
      </c>
    </row>
    <row r="250" spans="1:16" ht="24" customHeight="1" x14ac:dyDescent="0.25">
      <c r="A250" s="1" t="s">
        <v>259</v>
      </c>
      <c r="B250" s="1" t="s">
        <v>748</v>
      </c>
      <c r="C250" s="2" t="s">
        <v>0</v>
      </c>
      <c r="D250" s="22" t="s">
        <v>739</v>
      </c>
      <c r="E250" s="2"/>
      <c r="F250" s="22"/>
      <c r="G250" s="4" t="s">
        <v>731</v>
      </c>
      <c r="H250" s="3"/>
      <c r="I250" s="3"/>
      <c r="J250" s="1" t="s">
        <v>746</v>
      </c>
      <c r="K250" s="2" t="s">
        <v>0</v>
      </c>
      <c r="L250" s="22" t="s">
        <v>653</v>
      </c>
      <c r="M250" s="2"/>
      <c r="N250" s="22"/>
      <c r="O250" s="1" t="s">
        <v>912</v>
      </c>
      <c r="P250" s="24" t="s">
        <v>691</v>
      </c>
    </row>
    <row r="251" spans="1:16" ht="24" customHeight="1" x14ac:dyDescent="0.25">
      <c r="A251" s="1" t="s">
        <v>260</v>
      </c>
      <c r="B251" s="1" t="s">
        <v>748</v>
      </c>
      <c r="C251" s="2" t="s">
        <v>0</v>
      </c>
      <c r="D251" s="22" t="s">
        <v>812</v>
      </c>
      <c r="E251" s="2"/>
      <c r="F251" s="22"/>
      <c r="G251" s="4" t="s">
        <v>731</v>
      </c>
      <c r="H251" s="3"/>
      <c r="I251" s="3"/>
      <c r="J251" s="1" t="s">
        <v>749</v>
      </c>
      <c r="K251" s="2" t="s">
        <v>0</v>
      </c>
      <c r="L251" s="22" t="s">
        <v>699</v>
      </c>
      <c r="M251" s="2"/>
      <c r="N251" s="22"/>
      <c r="O251" s="1" t="s">
        <v>913</v>
      </c>
      <c r="P251" s="24" t="s">
        <v>691</v>
      </c>
    </row>
    <row r="252" spans="1:16" ht="24" customHeight="1" x14ac:dyDescent="0.25">
      <c r="A252" s="1" t="s">
        <v>261</v>
      </c>
      <c r="B252" s="1" t="s">
        <v>682</v>
      </c>
      <c r="C252" s="2" t="s">
        <v>0</v>
      </c>
      <c r="D252" s="1" t="s">
        <v>649</v>
      </c>
      <c r="E252" s="2"/>
      <c r="F252" s="22"/>
      <c r="G252" s="4" t="s">
        <v>731</v>
      </c>
      <c r="H252" s="3"/>
      <c r="I252" s="3"/>
      <c r="J252" s="1" t="s">
        <v>648</v>
      </c>
      <c r="K252" s="2" t="s">
        <v>0</v>
      </c>
      <c r="L252" s="22" t="s">
        <v>699</v>
      </c>
      <c r="M252" s="2"/>
      <c r="N252" s="22"/>
      <c r="O252" s="1" t="s">
        <v>914</v>
      </c>
      <c r="P252" s="24" t="s">
        <v>796</v>
      </c>
    </row>
    <row r="253" spans="1:16" ht="24" customHeight="1" x14ac:dyDescent="0.25">
      <c r="A253" s="1" t="s">
        <v>262</v>
      </c>
      <c r="B253" s="1" t="s">
        <v>682</v>
      </c>
      <c r="C253" s="2" t="s">
        <v>0</v>
      </c>
      <c r="D253" s="22" t="s">
        <v>653</v>
      </c>
      <c r="E253" s="2"/>
      <c r="F253" s="22"/>
      <c r="G253" s="4" t="s">
        <v>731</v>
      </c>
      <c r="H253" s="3"/>
      <c r="I253" s="3"/>
      <c r="J253" s="1" t="s">
        <v>685</v>
      </c>
      <c r="K253" s="2" t="s">
        <v>0</v>
      </c>
      <c r="L253" s="22" t="s">
        <v>699</v>
      </c>
      <c r="M253" s="2"/>
      <c r="N253" s="22"/>
      <c r="O253" s="1" t="s">
        <v>915</v>
      </c>
      <c r="P253" s="24" t="s">
        <v>796</v>
      </c>
    </row>
    <row r="254" spans="1:16" ht="24" customHeight="1" x14ac:dyDescent="0.25">
      <c r="A254" s="1" t="s">
        <v>263</v>
      </c>
      <c r="B254" s="1" t="s">
        <v>682</v>
      </c>
      <c r="C254" s="2" t="s">
        <v>0</v>
      </c>
      <c r="D254" s="22" t="s">
        <v>699</v>
      </c>
      <c r="E254" s="2"/>
      <c r="F254" s="22"/>
      <c r="G254" s="4" t="s">
        <v>731</v>
      </c>
      <c r="H254" s="3"/>
      <c r="I254" s="3"/>
      <c r="J254" s="1" t="s">
        <v>695</v>
      </c>
      <c r="K254" s="2" t="s">
        <v>0</v>
      </c>
      <c r="L254" s="22" t="s">
        <v>653</v>
      </c>
      <c r="M254" s="2"/>
      <c r="N254" s="22"/>
      <c r="O254" s="1" t="s">
        <v>916</v>
      </c>
      <c r="P254" s="24" t="s">
        <v>796</v>
      </c>
    </row>
    <row r="255" spans="1:16" ht="24" customHeight="1" x14ac:dyDescent="0.25">
      <c r="A255" s="1" t="s">
        <v>264</v>
      </c>
      <c r="B255" s="1" t="s">
        <v>682</v>
      </c>
      <c r="C255" s="2" t="s">
        <v>0</v>
      </c>
      <c r="D255" s="22" t="s">
        <v>812</v>
      </c>
      <c r="E255" s="2"/>
      <c r="F255" s="22"/>
      <c r="G255" s="4" t="s">
        <v>731</v>
      </c>
      <c r="H255" s="3"/>
      <c r="I255" s="3"/>
      <c r="J255" s="1" t="s">
        <v>819</v>
      </c>
      <c r="K255" s="2" t="s">
        <v>0</v>
      </c>
      <c r="L255" s="22" t="s">
        <v>653</v>
      </c>
      <c r="M255" s="2"/>
      <c r="N255" s="22"/>
      <c r="O255" s="1" t="s">
        <v>917</v>
      </c>
      <c r="P255" s="24" t="s">
        <v>796</v>
      </c>
    </row>
    <row r="256" spans="1:16" ht="24" customHeight="1" x14ac:dyDescent="0.25">
      <c r="A256" s="1" t="s">
        <v>265</v>
      </c>
      <c r="B256" s="1" t="s">
        <v>682</v>
      </c>
      <c r="C256" s="2" t="s">
        <v>0</v>
      </c>
      <c r="D256" s="22" t="s">
        <v>812</v>
      </c>
      <c r="E256" s="2"/>
      <c r="F256" s="22"/>
      <c r="G256" s="4" t="s">
        <v>731</v>
      </c>
      <c r="H256" s="3"/>
      <c r="I256" s="3"/>
      <c r="J256" s="1" t="s">
        <v>820</v>
      </c>
      <c r="K256" s="2" t="s">
        <v>0</v>
      </c>
      <c r="L256" s="22" t="s">
        <v>699</v>
      </c>
      <c r="M256" s="2"/>
      <c r="N256" s="22"/>
      <c r="O256" s="1" t="s">
        <v>918</v>
      </c>
      <c r="P256" s="24" t="s">
        <v>796</v>
      </c>
    </row>
    <row r="257" spans="1:16" ht="24" customHeight="1" x14ac:dyDescent="0.25">
      <c r="A257" s="1" t="s">
        <v>266</v>
      </c>
      <c r="B257" s="1" t="s">
        <v>695</v>
      </c>
      <c r="C257" s="2" t="s">
        <v>0</v>
      </c>
      <c r="D257" s="22" t="s">
        <v>639</v>
      </c>
      <c r="E257" s="2"/>
      <c r="F257" s="22"/>
      <c r="G257" s="4" t="s">
        <v>731</v>
      </c>
      <c r="H257" s="3"/>
      <c r="I257" s="3"/>
      <c r="J257" s="1" t="s">
        <v>652</v>
      </c>
      <c r="K257" s="2" t="s">
        <v>0</v>
      </c>
      <c r="L257" s="22" t="s">
        <v>699</v>
      </c>
      <c r="M257" s="2"/>
      <c r="N257" s="22"/>
      <c r="O257" s="1" t="s">
        <v>884</v>
      </c>
      <c r="P257" s="24" t="s">
        <v>796</v>
      </c>
    </row>
    <row r="258" spans="1:16" ht="24" customHeight="1" x14ac:dyDescent="0.25">
      <c r="A258" s="1" t="s">
        <v>267</v>
      </c>
      <c r="B258" s="1" t="s">
        <v>695</v>
      </c>
      <c r="C258" s="2" t="s">
        <v>0</v>
      </c>
      <c r="D258" s="22" t="s">
        <v>812</v>
      </c>
      <c r="E258" s="2"/>
      <c r="F258" s="22"/>
      <c r="G258" s="4" t="s">
        <v>731</v>
      </c>
      <c r="H258" s="3"/>
      <c r="I258" s="3"/>
      <c r="J258" s="1" t="s">
        <v>819</v>
      </c>
      <c r="K258" s="2" t="s">
        <v>0</v>
      </c>
      <c r="L258" s="22" t="s">
        <v>699</v>
      </c>
      <c r="M258" s="2"/>
      <c r="N258" s="22"/>
      <c r="O258" s="1" t="s">
        <v>863</v>
      </c>
      <c r="P258" s="24" t="s">
        <v>691</v>
      </c>
    </row>
    <row r="259" spans="1:16" ht="24" customHeight="1" x14ac:dyDescent="0.25">
      <c r="A259" s="1" t="s">
        <v>268</v>
      </c>
      <c r="B259" s="1" t="s">
        <v>695</v>
      </c>
      <c r="C259" s="2" t="s">
        <v>0</v>
      </c>
      <c r="D259" s="22" t="s">
        <v>739</v>
      </c>
      <c r="E259" s="2"/>
      <c r="F259" s="22"/>
      <c r="G259" s="4" t="s">
        <v>731</v>
      </c>
      <c r="H259" s="3"/>
      <c r="I259" s="3"/>
      <c r="J259" s="1" t="s">
        <v>698</v>
      </c>
      <c r="K259" s="2" t="s">
        <v>0</v>
      </c>
      <c r="L259" s="22" t="s">
        <v>654</v>
      </c>
      <c r="M259" s="2" t="s">
        <v>0</v>
      </c>
      <c r="N259" s="22" t="s">
        <v>699</v>
      </c>
      <c r="O259" s="1" t="s">
        <v>770</v>
      </c>
      <c r="P259" s="24" t="s">
        <v>691</v>
      </c>
    </row>
    <row r="260" spans="1:16" ht="24" customHeight="1" x14ac:dyDescent="0.25">
      <c r="A260" s="1" t="s">
        <v>269</v>
      </c>
      <c r="B260" s="1" t="s">
        <v>652</v>
      </c>
      <c r="C260" s="2" t="s">
        <v>0</v>
      </c>
      <c r="D260" s="1" t="s">
        <v>649</v>
      </c>
      <c r="E260" s="2"/>
      <c r="F260" s="22"/>
      <c r="G260" s="4" t="s">
        <v>731</v>
      </c>
      <c r="H260" s="3"/>
      <c r="I260" s="3"/>
      <c r="J260" s="1" t="s">
        <v>648</v>
      </c>
      <c r="K260" s="2" t="s">
        <v>0</v>
      </c>
      <c r="L260" s="22" t="s">
        <v>654</v>
      </c>
      <c r="M260" s="2"/>
      <c r="N260" s="22"/>
      <c r="O260" s="1" t="s">
        <v>897</v>
      </c>
      <c r="P260" s="24" t="s">
        <v>806</v>
      </c>
    </row>
    <row r="261" spans="1:16" ht="24" customHeight="1" x14ac:dyDescent="0.25">
      <c r="A261" s="1" t="s">
        <v>270</v>
      </c>
      <c r="B261" s="1" t="s">
        <v>652</v>
      </c>
      <c r="C261" s="2" t="s">
        <v>0</v>
      </c>
      <c r="D261" s="22" t="s">
        <v>688</v>
      </c>
      <c r="E261" s="2"/>
      <c r="F261" s="22"/>
      <c r="G261" s="4" t="s">
        <v>731</v>
      </c>
      <c r="H261" s="3"/>
      <c r="I261" s="3"/>
      <c r="J261" s="1" t="s">
        <v>698</v>
      </c>
      <c r="K261" s="2" t="s">
        <v>0</v>
      </c>
      <c r="L261" s="22" t="s">
        <v>654</v>
      </c>
      <c r="M261" s="2"/>
      <c r="N261" s="22"/>
      <c r="O261" s="1" t="s">
        <v>919</v>
      </c>
      <c r="P261" s="24" t="s">
        <v>806</v>
      </c>
    </row>
    <row r="262" spans="1:16" ht="24" customHeight="1" x14ac:dyDescent="0.25">
      <c r="A262" s="1" t="s">
        <v>271</v>
      </c>
      <c r="B262" s="1" t="s">
        <v>652</v>
      </c>
      <c r="C262" s="2" t="s">
        <v>0</v>
      </c>
      <c r="D262" s="1" t="s">
        <v>739</v>
      </c>
      <c r="E262" s="2"/>
      <c r="F262" s="22"/>
      <c r="G262" s="4" t="s">
        <v>731</v>
      </c>
      <c r="H262" s="3"/>
      <c r="I262" s="3"/>
      <c r="J262" s="1" t="s">
        <v>698</v>
      </c>
      <c r="K262" s="2" t="s">
        <v>0</v>
      </c>
      <c r="L262" s="1" t="s">
        <v>767</v>
      </c>
      <c r="M262" s="2"/>
      <c r="N262" s="22"/>
      <c r="O262" s="1" t="s">
        <v>923</v>
      </c>
      <c r="P262" s="24" t="s">
        <v>796</v>
      </c>
    </row>
    <row r="263" spans="1:16" ht="24" customHeight="1" x14ac:dyDescent="0.25">
      <c r="A263" s="1" t="s">
        <v>272</v>
      </c>
      <c r="B263" s="1" t="s">
        <v>652</v>
      </c>
      <c r="C263" s="2" t="s">
        <v>0</v>
      </c>
      <c r="D263" s="1" t="s">
        <v>738</v>
      </c>
      <c r="E263" s="2"/>
      <c r="F263" s="22"/>
      <c r="G263" s="4" t="s">
        <v>731</v>
      </c>
      <c r="H263" s="3"/>
      <c r="I263" s="3"/>
      <c r="J263" s="1" t="s">
        <v>680</v>
      </c>
      <c r="K263" s="2" t="s">
        <v>0</v>
      </c>
      <c r="L263" s="22" t="s">
        <v>654</v>
      </c>
      <c r="M263" s="2"/>
      <c r="N263" s="22"/>
      <c r="O263" s="1" t="s">
        <v>920</v>
      </c>
      <c r="P263" s="24" t="s">
        <v>796</v>
      </c>
    </row>
    <row r="264" spans="1:16" ht="24" customHeight="1" x14ac:dyDescent="0.25">
      <c r="A264" s="1" t="s">
        <v>273</v>
      </c>
      <c r="B264" s="1" t="s">
        <v>652</v>
      </c>
      <c r="C264" s="2" t="s">
        <v>0</v>
      </c>
      <c r="D264" s="1" t="s">
        <v>699</v>
      </c>
      <c r="E264" s="2"/>
      <c r="F264" s="22"/>
      <c r="G264" s="4" t="s">
        <v>731</v>
      </c>
      <c r="H264" s="3"/>
      <c r="I264" s="3"/>
      <c r="J264" s="1" t="s">
        <v>696</v>
      </c>
      <c r="K264" s="2" t="s">
        <v>0</v>
      </c>
      <c r="L264" s="22" t="s">
        <v>653</v>
      </c>
      <c r="M264" s="2"/>
      <c r="N264" s="22"/>
      <c r="O264" s="1" t="s">
        <v>921</v>
      </c>
      <c r="P264" s="24" t="s">
        <v>796</v>
      </c>
    </row>
    <row r="265" spans="1:16" ht="24" customHeight="1" x14ac:dyDescent="0.25">
      <c r="A265" s="1" t="s">
        <v>274</v>
      </c>
      <c r="B265" s="1" t="s">
        <v>652</v>
      </c>
      <c r="C265" s="2" t="s">
        <v>0</v>
      </c>
      <c r="D265" s="22" t="s">
        <v>654</v>
      </c>
      <c r="E265" s="2"/>
      <c r="F265" s="22"/>
      <c r="G265" s="4" t="s">
        <v>731</v>
      </c>
      <c r="H265" s="3"/>
      <c r="I265" s="3"/>
      <c r="J265" s="1" t="s">
        <v>696</v>
      </c>
      <c r="K265" s="2" t="s">
        <v>0</v>
      </c>
      <c r="L265" s="22" t="s">
        <v>639</v>
      </c>
      <c r="M265" s="2"/>
      <c r="N265" s="22"/>
      <c r="O265" s="1" t="s">
        <v>770</v>
      </c>
      <c r="P265" s="24" t="s">
        <v>805</v>
      </c>
    </row>
    <row r="266" spans="1:16" ht="24" customHeight="1" x14ac:dyDescent="0.25">
      <c r="A266" s="1" t="s">
        <v>275</v>
      </c>
      <c r="B266" s="1" t="s">
        <v>652</v>
      </c>
      <c r="C266" s="2" t="s">
        <v>0</v>
      </c>
      <c r="D266" s="1" t="s">
        <v>812</v>
      </c>
      <c r="E266" s="2"/>
      <c r="F266" s="22"/>
      <c r="G266" s="4" t="s">
        <v>731</v>
      </c>
      <c r="H266" s="3"/>
      <c r="I266" s="3"/>
      <c r="J266" s="1" t="s">
        <v>696</v>
      </c>
      <c r="K266" s="2" t="s">
        <v>0</v>
      </c>
      <c r="L266" s="22" t="s">
        <v>654</v>
      </c>
      <c r="M266" s="2"/>
      <c r="N266" s="22"/>
      <c r="O266" s="1" t="s">
        <v>924</v>
      </c>
      <c r="P266" s="24" t="s">
        <v>806</v>
      </c>
    </row>
    <row r="267" spans="1:16" ht="24" customHeight="1" x14ac:dyDescent="0.25">
      <c r="A267" s="1" t="s">
        <v>276</v>
      </c>
      <c r="B267" s="1" t="s">
        <v>652</v>
      </c>
      <c r="C267" s="2" t="s">
        <v>0</v>
      </c>
      <c r="D267" s="1" t="s">
        <v>812</v>
      </c>
      <c r="E267" s="2"/>
      <c r="F267" s="22"/>
      <c r="G267" s="4" t="s">
        <v>731</v>
      </c>
      <c r="H267" s="3"/>
      <c r="I267" s="3"/>
      <c r="J267" s="1" t="s">
        <v>697</v>
      </c>
      <c r="K267" s="2" t="s">
        <v>0</v>
      </c>
      <c r="L267" s="22" t="s">
        <v>639</v>
      </c>
      <c r="M267" s="2"/>
      <c r="N267" s="22"/>
      <c r="O267" s="1" t="s">
        <v>923</v>
      </c>
      <c r="P267" s="24" t="s">
        <v>806</v>
      </c>
    </row>
    <row r="268" spans="1:16" ht="24" customHeight="1" x14ac:dyDescent="0.25">
      <c r="A268" s="1" t="s">
        <v>277</v>
      </c>
      <c r="B268" s="1" t="s">
        <v>749</v>
      </c>
      <c r="C268" s="2" t="s">
        <v>0</v>
      </c>
      <c r="D268" s="1" t="s">
        <v>723</v>
      </c>
      <c r="E268" s="2"/>
      <c r="F268" s="22"/>
      <c r="G268" s="4" t="s">
        <v>731</v>
      </c>
      <c r="H268" s="3"/>
      <c r="I268" s="3"/>
      <c r="J268" s="1" t="s">
        <v>737</v>
      </c>
      <c r="K268" s="2" t="s">
        <v>0</v>
      </c>
      <c r="L268" s="22" t="s">
        <v>654</v>
      </c>
      <c r="M268" s="2"/>
      <c r="N268" s="22"/>
      <c r="O268" s="1" t="s">
        <v>922</v>
      </c>
      <c r="P268" s="24" t="s">
        <v>777</v>
      </c>
    </row>
    <row r="269" spans="1:16" ht="24" customHeight="1" x14ac:dyDescent="0.25">
      <c r="A269" s="1" t="s">
        <v>278</v>
      </c>
      <c r="B269" s="1" t="s">
        <v>749</v>
      </c>
      <c r="C269" s="2" t="s">
        <v>0</v>
      </c>
      <c r="D269" s="1" t="s">
        <v>739</v>
      </c>
      <c r="E269" s="2"/>
      <c r="F269" s="22"/>
      <c r="G269" s="4" t="s">
        <v>731</v>
      </c>
      <c r="H269" s="3"/>
      <c r="I269" s="3"/>
      <c r="J269" s="1" t="s">
        <v>746</v>
      </c>
      <c r="K269" s="2" t="s">
        <v>0</v>
      </c>
      <c r="L269" s="22" t="s">
        <v>654</v>
      </c>
      <c r="M269" s="2"/>
      <c r="N269" s="22"/>
      <c r="O269" s="1" t="s">
        <v>761</v>
      </c>
      <c r="P269" s="24" t="s">
        <v>691</v>
      </c>
    </row>
    <row r="270" spans="1:16" ht="24" customHeight="1" x14ac:dyDescent="0.25">
      <c r="A270" s="1" t="s">
        <v>279</v>
      </c>
      <c r="B270" s="1" t="s">
        <v>696</v>
      </c>
      <c r="C270" s="2" t="s">
        <v>0</v>
      </c>
      <c r="D270" s="22" t="s">
        <v>636</v>
      </c>
      <c r="E270" s="2"/>
      <c r="F270" s="22"/>
      <c r="G270" s="4" t="s">
        <v>731</v>
      </c>
      <c r="H270" s="3"/>
      <c r="I270" s="3"/>
      <c r="J270" s="1" t="s">
        <v>698</v>
      </c>
      <c r="K270" s="2" t="s">
        <v>0</v>
      </c>
      <c r="L270" s="1" t="s">
        <v>699</v>
      </c>
      <c r="M270" s="2"/>
      <c r="N270" s="22"/>
      <c r="O270" s="1" t="s">
        <v>908</v>
      </c>
      <c r="P270" s="24" t="s">
        <v>796</v>
      </c>
    </row>
    <row r="271" spans="1:16" ht="24" customHeight="1" x14ac:dyDescent="0.25">
      <c r="A271" s="1" t="s">
        <v>280</v>
      </c>
      <c r="B271" s="1" t="s">
        <v>696</v>
      </c>
      <c r="C271" s="2" t="s">
        <v>0</v>
      </c>
      <c r="D271" s="22" t="s">
        <v>639</v>
      </c>
      <c r="E271" s="2"/>
      <c r="F271" s="22"/>
      <c r="G271" s="4" t="s">
        <v>731</v>
      </c>
      <c r="H271" s="3"/>
      <c r="I271" s="3"/>
      <c r="J271" s="1" t="s">
        <v>648</v>
      </c>
      <c r="K271" s="2" t="s">
        <v>0</v>
      </c>
      <c r="L271" s="1" t="s">
        <v>699</v>
      </c>
      <c r="M271" s="2"/>
      <c r="N271" s="22"/>
      <c r="O271" s="1" t="s">
        <v>928</v>
      </c>
      <c r="P271" s="24" t="s">
        <v>805</v>
      </c>
    </row>
    <row r="272" spans="1:16" ht="24" customHeight="1" x14ac:dyDescent="0.25">
      <c r="A272" s="1" t="s">
        <v>281</v>
      </c>
      <c r="B272" s="1" t="s">
        <v>696</v>
      </c>
      <c r="C272" s="2" t="s">
        <v>0</v>
      </c>
      <c r="D272" s="1" t="s">
        <v>649</v>
      </c>
      <c r="E272" s="2"/>
      <c r="F272" s="22"/>
      <c r="G272" s="4" t="s">
        <v>731</v>
      </c>
      <c r="H272" s="3"/>
      <c r="I272" s="3"/>
      <c r="J272" s="1" t="s">
        <v>648</v>
      </c>
      <c r="K272" s="2" t="s">
        <v>0</v>
      </c>
      <c r="L272" s="1" t="s">
        <v>812</v>
      </c>
      <c r="M272" s="2"/>
      <c r="N272" s="22"/>
      <c r="O272" s="1" t="s">
        <v>925</v>
      </c>
      <c r="P272" s="24" t="s">
        <v>691</v>
      </c>
    </row>
    <row r="273" spans="1:16" ht="24" customHeight="1" x14ac:dyDescent="0.25">
      <c r="A273" s="1" t="s">
        <v>282</v>
      </c>
      <c r="B273" s="1" t="s">
        <v>696</v>
      </c>
      <c r="C273" s="2" t="s">
        <v>0</v>
      </c>
      <c r="D273" s="22" t="s">
        <v>688</v>
      </c>
      <c r="E273" s="2"/>
      <c r="F273" s="22"/>
      <c r="G273" s="4" t="s">
        <v>731</v>
      </c>
      <c r="H273" s="3"/>
      <c r="I273" s="3"/>
      <c r="J273" s="1" t="s">
        <v>698</v>
      </c>
      <c r="K273" s="2" t="s">
        <v>0</v>
      </c>
      <c r="L273" s="1" t="s">
        <v>812</v>
      </c>
      <c r="M273" s="2"/>
      <c r="N273" s="22"/>
      <c r="O273" s="1" t="s">
        <v>879</v>
      </c>
      <c r="P273" s="24" t="s">
        <v>806</v>
      </c>
    </row>
    <row r="274" spans="1:16" ht="24" customHeight="1" x14ac:dyDescent="0.25">
      <c r="A274" s="1" t="s">
        <v>283</v>
      </c>
      <c r="B274" s="1" t="s">
        <v>696</v>
      </c>
      <c r="C274" s="2" t="s">
        <v>0</v>
      </c>
      <c r="D274" s="1" t="s">
        <v>739</v>
      </c>
      <c r="E274" s="2"/>
      <c r="F274" s="22"/>
      <c r="G274" s="4" t="s">
        <v>731</v>
      </c>
      <c r="H274" s="3"/>
      <c r="I274" s="3"/>
      <c r="J274" s="1" t="s">
        <v>683</v>
      </c>
      <c r="K274" s="2" t="s">
        <v>0</v>
      </c>
      <c r="L274" s="1" t="s">
        <v>812</v>
      </c>
      <c r="M274" s="2"/>
      <c r="N274" s="22"/>
      <c r="O274" s="1" t="s">
        <v>790</v>
      </c>
      <c r="P274" s="24" t="s">
        <v>796</v>
      </c>
    </row>
    <row r="275" spans="1:16" ht="24" customHeight="1" x14ac:dyDescent="0.25">
      <c r="A275" s="1" t="s">
        <v>284</v>
      </c>
      <c r="B275" s="1" t="s">
        <v>696</v>
      </c>
      <c r="C275" s="2" t="s">
        <v>0</v>
      </c>
      <c r="D275" s="1" t="s">
        <v>699</v>
      </c>
      <c r="E275" s="2"/>
      <c r="F275" s="22"/>
      <c r="G275" s="4" t="s">
        <v>731</v>
      </c>
      <c r="H275" s="3"/>
      <c r="I275" s="3"/>
      <c r="J275" s="1" t="s">
        <v>697</v>
      </c>
      <c r="K275" s="2" t="s">
        <v>653</v>
      </c>
      <c r="L275" s="22"/>
      <c r="M275" s="2"/>
      <c r="N275" s="22"/>
      <c r="O275" s="1" t="s">
        <v>927</v>
      </c>
      <c r="P275" s="24" t="s">
        <v>796</v>
      </c>
    </row>
    <row r="276" spans="1:16" ht="24" customHeight="1" x14ac:dyDescent="0.25">
      <c r="A276" s="1" t="s">
        <v>285</v>
      </c>
      <c r="B276" s="1" t="s">
        <v>696</v>
      </c>
      <c r="C276" s="2" t="s">
        <v>0</v>
      </c>
      <c r="D276" s="1" t="s">
        <v>812</v>
      </c>
      <c r="E276" s="2"/>
      <c r="F276" s="22"/>
      <c r="G276" s="4" t="s">
        <v>731</v>
      </c>
      <c r="H276" s="3"/>
      <c r="I276" s="3"/>
      <c r="J276" s="1" t="s">
        <v>697</v>
      </c>
      <c r="K276" s="2" t="s">
        <v>0</v>
      </c>
      <c r="L276" s="22" t="s">
        <v>654</v>
      </c>
      <c r="M276" s="2"/>
      <c r="N276" s="22"/>
      <c r="O276" s="1" t="s">
        <v>872</v>
      </c>
      <c r="P276" s="24" t="s">
        <v>691</v>
      </c>
    </row>
    <row r="277" spans="1:16" ht="24" customHeight="1" x14ac:dyDescent="0.25">
      <c r="A277" s="1" t="s">
        <v>286</v>
      </c>
      <c r="B277" s="1" t="s">
        <v>697</v>
      </c>
      <c r="C277" s="2" t="s">
        <v>0</v>
      </c>
      <c r="D277" s="22" t="s">
        <v>688</v>
      </c>
      <c r="E277" s="2"/>
      <c r="F277" s="22"/>
      <c r="G277" s="4" t="s">
        <v>731</v>
      </c>
      <c r="H277" s="3"/>
      <c r="I277" s="3"/>
      <c r="J277" s="1" t="s">
        <v>698</v>
      </c>
      <c r="K277" s="2" t="s">
        <v>0</v>
      </c>
      <c r="L277" s="22" t="s">
        <v>653</v>
      </c>
      <c r="M277" s="2" t="s">
        <v>0</v>
      </c>
      <c r="N277" s="1" t="s">
        <v>812</v>
      </c>
      <c r="O277" s="1" t="s">
        <v>929</v>
      </c>
      <c r="P277" s="24" t="s">
        <v>806</v>
      </c>
    </row>
    <row r="278" spans="1:16" ht="24" customHeight="1" x14ac:dyDescent="0.25">
      <c r="A278" s="1" t="s">
        <v>287</v>
      </c>
      <c r="B278" s="1" t="s">
        <v>697</v>
      </c>
      <c r="C278" s="2" t="s">
        <v>0</v>
      </c>
      <c r="D278" s="1" t="s">
        <v>821</v>
      </c>
      <c r="E278" s="2"/>
      <c r="F278" s="22"/>
      <c r="G278" s="4" t="s">
        <v>731</v>
      </c>
      <c r="H278" s="3"/>
      <c r="I278" s="3"/>
      <c r="J278" s="1" t="s">
        <v>683</v>
      </c>
      <c r="K278" s="2" t="s">
        <v>0</v>
      </c>
      <c r="L278" s="22" t="s">
        <v>816</v>
      </c>
      <c r="M278" s="2" t="s">
        <v>0</v>
      </c>
      <c r="N278" s="1" t="s">
        <v>812</v>
      </c>
      <c r="O278" s="1" t="s">
        <v>795</v>
      </c>
      <c r="P278" s="24" t="s">
        <v>756</v>
      </c>
    </row>
    <row r="279" spans="1:16" ht="24" customHeight="1" x14ac:dyDescent="0.25">
      <c r="A279" s="1" t="s">
        <v>288</v>
      </c>
      <c r="B279" s="1" t="s">
        <v>678</v>
      </c>
      <c r="C279" s="2" t="s">
        <v>0</v>
      </c>
      <c r="D279" s="1" t="s">
        <v>700</v>
      </c>
      <c r="E279" s="2"/>
      <c r="F279" s="22"/>
      <c r="G279" s="4" t="s">
        <v>731</v>
      </c>
      <c r="H279" s="3"/>
      <c r="I279" s="3"/>
      <c r="J279" s="1" t="s">
        <v>639</v>
      </c>
      <c r="K279" s="2" t="s">
        <v>0</v>
      </c>
      <c r="L279" s="22" t="s">
        <v>639</v>
      </c>
      <c r="M279" s="2"/>
      <c r="N279" s="22"/>
      <c r="O279" s="1" t="s">
        <v>930</v>
      </c>
      <c r="P279" s="24" t="s">
        <v>691</v>
      </c>
    </row>
    <row r="280" spans="1:16" ht="24" customHeight="1" x14ac:dyDescent="0.25">
      <c r="A280" s="1" t="s">
        <v>289</v>
      </c>
      <c r="B280" s="1" t="s">
        <v>678</v>
      </c>
      <c r="C280" s="2" t="s">
        <v>0</v>
      </c>
      <c r="D280" s="1" t="s">
        <v>701</v>
      </c>
      <c r="E280" s="2"/>
      <c r="F280" s="22"/>
      <c r="G280" s="4" t="s">
        <v>731</v>
      </c>
      <c r="H280" s="3"/>
      <c r="I280" s="3"/>
      <c r="J280" s="1" t="s">
        <v>649</v>
      </c>
      <c r="K280" s="2" t="s">
        <v>0</v>
      </c>
      <c r="L280" s="22" t="s">
        <v>639</v>
      </c>
      <c r="M280" s="2"/>
      <c r="N280" s="22"/>
      <c r="O280" s="1" t="s">
        <v>930</v>
      </c>
      <c r="P280" s="24" t="s">
        <v>691</v>
      </c>
    </row>
    <row r="281" spans="1:16" ht="24" customHeight="1" x14ac:dyDescent="0.25">
      <c r="A281" s="1" t="s">
        <v>290</v>
      </c>
      <c r="B281" s="1" t="s">
        <v>678</v>
      </c>
      <c r="C281" s="2" t="s">
        <v>0</v>
      </c>
      <c r="D281" s="1" t="s">
        <v>737</v>
      </c>
      <c r="E281" s="2"/>
      <c r="F281" s="22"/>
      <c r="G281" s="4" t="s">
        <v>731</v>
      </c>
      <c r="H281" s="3"/>
      <c r="I281" s="3"/>
      <c r="J281" s="1" t="s">
        <v>723</v>
      </c>
      <c r="K281" s="2" t="s">
        <v>0</v>
      </c>
      <c r="L281" s="22" t="s">
        <v>639</v>
      </c>
      <c r="M281" s="2"/>
      <c r="N281" s="22"/>
      <c r="O281" s="1" t="s">
        <v>930</v>
      </c>
      <c r="P281" s="24" t="s">
        <v>691</v>
      </c>
    </row>
    <row r="282" spans="1:16" ht="24" customHeight="1" x14ac:dyDescent="0.25">
      <c r="A282" s="1" t="s">
        <v>291</v>
      </c>
      <c r="B282" s="1" t="s">
        <v>678</v>
      </c>
      <c r="C282" s="2" t="s">
        <v>0</v>
      </c>
      <c r="D282" s="1" t="s">
        <v>815</v>
      </c>
      <c r="E282" s="2"/>
      <c r="F282" s="22"/>
      <c r="G282" s="4" t="s">
        <v>731</v>
      </c>
      <c r="H282" s="3"/>
      <c r="I282" s="3"/>
      <c r="J282" s="1" t="s">
        <v>649</v>
      </c>
      <c r="K282" s="2" t="s">
        <v>0</v>
      </c>
      <c r="L282" s="1" t="s">
        <v>649</v>
      </c>
      <c r="M282" s="2" t="s">
        <v>0</v>
      </c>
      <c r="N282" s="22" t="s">
        <v>639</v>
      </c>
      <c r="O282" s="1" t="s">
        <v>931</v>
      </c>
      <c r="P282" s="24" t="s">
        <v>691</v>
      </c>
    </row>
    <row r="283" spans="1:16" ht="24" customHeight="1" x14ac:dyDescent="0.25">
      <c r="A283" s="1" t="s">
        <v>292</v>
      </c>
      <c r="B283" s="1" t="s">
        <v>678</v>
      </c>
      <c r="C283" s="2" t="s">
        <v>0</v>
      </c>
      <c r="D283" s="1" t="s">
        <v>823</v>
      </c>
      <c r="E283" s="2"/>
      <c r="F283" s="22"/>
      <c r="G283" s="4" t="s">
        <v>731</v>
      </c>
      <c r="H283" s="3"/>
      <c r="I283" s="3"/>
      <c r="J283" s="1" t="s">
        <v>738</v>
      </c>
      <c r="K283" s="2" t="s">
        <v>0</v>
      </c>
      <c r="L283" s="22" t="s">
        <v>639</v>
      </c>
      <c r="M283" s="2"/>
      <c r="N283" s="22"/>
      <c r="O283" s="1" t="s">
        <v>930</v>
      </c>
      <c r="P283" s="24" t="s">
        <v>691</v>
      </c>
    </row>
    <row r="284" spans="1:16" ht="24" customHeight="1" x14ac:dyDescent="0.25">
      <c r="A284" s="1" t="s">
        <v>293</v>
      </c>
      <c r="B284" s="1" t="s">
        <v>678</v>
      </c>
      <c r="C284" s="2" t="s">
        <v>0</v>
      </c>
      <c r="D284" s="1" t="s">
        <v>824</v>
      </c>
      <c r="E284" s="2"/>
      <c r="F284" s="22"/>
      <c r="G284" s="4" t="s">
        <v>731</v>
      </c>
      <c r="H284" s="3"/>
      <c r="I284" s="3"/>
      <c r="J284" s="1" t="s">
        <v>688</v>
      </c>
      <c r="K284" s="2" t="s">
        <v>0</v>
      </c>
      <c r="L284" s="22" t="s">
        <v>639</v>
      </c>
      <c r="M284" s="2"/>
      <c r="N284" s="22"/>
      <c r="O284" s="1" t="s">
        <v>930</v>
      </c>
      <c r="P284" s="24" t="s">
        <v>691</v>
      </c>
    </row>
    <row r="285" spans="1:16" ht="24" customHeight="1" x14ac:dyDescent="0.25">
      <c r="A285" s="1" t="s">
        <v>294</v>
      </c>
      <c r="B285" s="1" t="s">
        <v>678</v>
      </c>
      <c r="C285" s="2" t="s">
        <v>0</v>
      </c>
      <c r="D285" s="1" t="s">
        <v>746</v>
      </c>
      <c r="E285" s="2"/>
      <c r="F285" s="22"/>
      <c r="G285" s="4" t="s">
        <v>731</v>
      </c>
      <c r="H285" s="3"/>
      <c r="I285" s="3"/>
      <c r="J285" s="1" t="s">
        <v>739</v>
      </c>
      <c r="K285" s="2" t="s">
        <v>0</v>
      </c>
      <c r="L285" s="22" t="s">
        <v>639</v>
      </c>
      <c r="M285" s="2"/>
      <c r="N285" s="22"/>
      <c r="O285" s="1" t="s">
        <v>930</v>
      </c>
      <c r="P285" s="24" t="s">
        <v>690</v>
      </c>
    </row>
    <row r="286" spans="1:16" ht="24" customHeight="1" x14ac:dyDescent="0.25">
      <c r="A286" s="1" t="s">
        <v>295</v>
      </c>
      <c r="B286" s="1" t="s">
        <v>678</v>
      </c>
      <c r="C286" s="2" t="s">
        <v>0</v>
      </c>
      <c r="D286" s="1" t="s">
        <v>747</v>
      </c>
      <c r="E286" s="2"/>
      <c r="F286" s="22"/>
      <c r="G286" s="4" t="s">
        <v>731</v>
      </c>
      <c r="H286" s="3"/>
      <c r="I286" s="3"/>
      <c r="J286" s="1" t="s">
        <v>740</v>
      </c>
      <c r="K286" s="2" t="s">
        <v>0</v>
      </c>
      <c r="L286" s="22" t="s">
        <v>639</v>
      </c>
      <c r="M286" s="2"/>
      <c r="N286" s="22"/>
      <c r="O286" s="1" t="s">
        <v>930</v>
      </c>
      <c r="P286" s="24" t="s">
        <v>691</v>
      </c>
    </row>
    <row r="287" spans="1:16" ht="24" customHeight="1" x14ac:dyDescent="0.25">
      <c r="A287" s="1" t="s">
        <v>296</v>
      </c>
      <c r="B287" s="1" t="s">
        <v>678</v>
      </c>
      <c r="C287" s="2" t="s">
        <v>0</v>
      </c>
      <c r="D287" s="1" t="s">
        <v>748</v>
      </c>
      <c r="E287" s="2"/>
      <c r="F287" s="22"/>
      <c r="G287" s="4" t="s">
        <v>731</v>
      </c>
      <c r="H287" s="3"/>
      <c r="I287" s="3"/>
      <c r="J287" s="1" t="s">
        <v>639</v>
      </c>
      <c r="K287" s="2" t="s">
        <v>0</v>
      </c>
      <c r="L287" s="22" t="s">
        <v>653</v>
      </c>
      <c r="M287" s="2"/>
      <c r="N287" s="22"/>
      <c r="O287" s="1" t="s">
        <v>930</v>
      </c>
      <c r="P287" s="24" t="s">
        <v>703</v>
      </c>
    </row>
    <row r="288" spans="1:16" ht="24" customHeight="1" x14ac:dyDescent="0.25">
      <c r="A288" s="1" t="s">
        <v>297</v>
      </c>
      <c r="B288" s="1" t="s">
        <v>678</v>
      </c>
      <c r="C288" s="2" t="s">
        <v>0</v>
      </c>
      <c r="D288" s="1" t="s">
        <v>749</v>
      </c>
      <c r="E288" s="2"/>
      <c r="F288" s="22"/>
      <c r="G288" s="4" t="s">
        <v>731</v>
      </c>
      <c r="H288" s="3"/>
      <c r="I288" s="3"/>
      <c r="J288" s="1" t="s">
        <v>639</v>
      </c>
      <c r="K288" s="2" t="s">
        <v>0</v>
      </c>
      <c r="L288" s="22" t="s">
        <v>654</v>
      </c>
      <c r="M288" s="2"/>
      <c r="N288" s="22"/>
      <c r="O288" s="1" t="s">
        <v>930</v>
      </c>
      <c r="P288" s="24" t="s">
        <v>703</v>
      </c>
    </row>
    <row r="289" spans="1:16" ht="24" customHeight="1" x14ac:dyDescent="0.25">
      <c r="A289" s="1" t="s">
        <v>298</v>
      </c>
      <c r="B289" s="1" t="s">
        <v>822</v>
      </c>
      <c r="C289" s="2" t="s">
        <v>0</v>
      </c>
      <c r="D289" s="1" t="s">
        <v>700</v>
      </c>
      <c r="E289" s="2"/>
      <c r="F289" s="22"/>
      <c r="G289" s="4" t="s">
        <v>731</v>
      </c>
      <c r="H289" s="3"/>
      <c r="I289" s="3"/>
      <c r="J289" s="1" t="s">
        <v>639</v>
      </c>
      <c r="K289" s="2" t="s">
        <v>0</v>
      </c>
      <c r="L289" s="22" t="s">
        <v>639</v>
      </c>
      <c r="M289" s="2" t="s">
        <v>0</v>
      </c>
      <c r="N289" s="22" t="s">
        <v>639</v>
      </c>
      <c r="O289" s="1" t="s">
        <v>931</v>
      </c>
      <c r="P289" s="24" t="s">
        <v>690</v>
      </c>
    </row>
    <row r="290" spans="1:16" ht="24" customHeight="1" x14ac:dyDescent="0.25">
      <c r="A290" s="1" t="s">
        <v>299</v>
      </c>
      <c r="B290" s="1" t="s">
        <v>822</v>
      </c>
      <c r="C290" s="2" t="s">
        <v>0</v>
      </c>
      <c r="D290" s="1" t="s">
        <v>700</v>
      </c>
      <c r="E290" s="2"/>
      <c r="F290" s="22"/>
      <c r="G290" s="4" t="s">
        <v>731</v>
      </c>
      <c r="H290" s="3"/>
      <c r="I290" s="3"/>
      <c r="J290" s="1" t="s">
        <v>639</v>
      </c>
      <c r="K290" s="2" t="s">
        <v>0</v>
      </c>
      <c r="L290" s="1" t="s">
        <v>649</v>
      </c>
      <c r="M290" s="2"/>
      <c r="N290" s="22"/>
      <c r="O290" s="1" t="s">
        <v>930</v>
      </c>
      <c r="P290" s="24" t="s">
        <v>691</v>
      </c>
    </row>
    <row r="291" spans="1:16" ht="24" customHeight="1" x14ac:dyDescent="0.25">
      <c r="A291" s="1" t="s">
        <v>300</v>
      </c>
      <c r="B291" s="1" t="s">
        <v>822</v>
      </c>
      <c r="C291" s="2" t="s">
        <v>0</v>
      </c>
      <c r="D291" s="1" t="s">
        <v>701</v>
      </c>
      <c r="E291" s="2"/>
      <c r="F291" s="22"/>
      <c r="G291" s="4" t="s">
        <v>731</v>
      </c>
      <c r="H291" s="3"/>
      <c r="I291" s="3"/>
      <c r="J291" s="1" t="s">
        <v>649</v>
      </c>
      <c r="K291" s="2" t="s">
        <v>0</v>
      </c>
      <c r="L291" s="1" t="s">
        <v>649</v>
      </c>
      <c r="M291" s="2"/>
      <c r="N291" s="22"/>
      <c r="O291" s="1" t="s">
        <v>930</v>
      </c>
      <c r="P291" s="24" t="s">
        <v>691</v>
      </c>
    </row>
    <row r="292" spans="1:16" ht="24" customHeight="1" x14ac:dyDescent="0.25">
      <c r="A292" s="1" t="s">
        <v>301</v>
      </c>
      <c r="B292" s="1" t="s">
        <v>822</v>
      </c>
      <c r="C292" s="2" t="s">
        <v>0</v>
      </c>
      <c r="D292" s="1" t="s">
        <v>701</v>
      </c>
      <c r="E292" s="2"/>
      <c r="F292" s="22"/>
      <c r="G292" s="4" t="s">
        <v>731</v>
      </c>
      <c r="H292" s="3"/>
      <c r="I292" s="3"/>
      <c r="J292" s="1" t="s">
        <v>649</v>
      </c>
      <c r="K292" s="2" t="s">
        <v>0</v>
      </c>
      <c r="L292" s="22" t="s">
        <v>639</v>
      </c>
      <c r="M292" s="2" t="s">
        <v>0</v>
      </c>
      <c r="N292" s="22" t="s">
        <v>639</v>
      </c>
      <c r="O292" s="1" t="s">
        <v>931</v>
      </c>
      <c r="P292" s="24" t="s">
        <v>691</v>
      </c>
    </row>
    <row r="293" spans="1:16" ht="24" customHeight="1" x14ac:dyDescent="0.25">
      <c r="A293" s="1" t="s">
        <v>302</v>
      </c>
      <c r="B293" s="1" t="s">
        <v>822</v>
      </c>
      <c r="C293" s="2" t="s">
        <v>0</v>
      </c>
      <c r="D293" s="1" t="s">
        <v>737</v>
      </c>
      <c r="E293" s="2"/>
      <c r="F293" s="22"/>
      <c r="G293" s="4" t="s">
        <v>731</v>
      </c>
      <c r="H293" s="3"/>
      <c r="I293" s="3"/>
      <c r="J293" s="1" t="s">
        <v>723</v>
      </c>
      <c r="K293" s="2" t="s">
        <v>0</v>
      </c>
      <c r="L293" s="1" t="s">
        <v>649</v>
      </c>
      <c r="M293" s="2"/>
      <c r="N293" s="22"/>
      <c r="O293" s="1" t="s">
        <v>930</v>
      </c>
      <c r="P293" s="24" t="s">
        <v>691</v>
      </c>
    </row>
    <row r="294" spans="1:16" ht="24" customHeight="1" x14ac:dyDescent="0.25">
      <c r="A294" s="1" t="s">
        <v>303</v>
      </c>
      <c r="B294" s="1" t="s">
        <v>822</v>
      </c>
      <c r="C294" s="2" t="s">
        <v>0</v>
      </c>
      <c r="D294" s="1" t="s">
        <v>737</v>
      </c>
      <c r="E294" s="2"/>
      <c r="F294" s="22"/>
      <c r="G294" s="4"/>
      <c r="H294" s="3"/>
      <c r="I294" s="3"/>
      <c r="J294" s="1" t="s">
        <v>723</v>
      </c>
      <c r="K294" s="2" t="s">
        <v>0</v>
      </c>
      <c r="L294" s="22" t="s">
        <v>639</v>
      </c>
      <c r="M294" s="2" t="s">
        <v>0</v>
      </c>
      <c r="N294" s="22" t="s">
        <v>639</v>
      </c>
      <c r="O294" s="1" t="s">
        <v>931</v>
      </c>
      <c r="P294" s="24" t="s">
        <v>691</v>
      </c>
    </row>
    <row r="295" spans="1:16" ht="24" customHeight="1" x14ac:dyDescent="0.25">
      <c r="A295" s="1" t="s">
        <v>304</v>
      </c>
      <c r="B295" s="1" t="s">
        <v>822</v>
      </c>
      <c r="C295" s="2" t="s">
        <v>0</v>
      </c>
      <c r="D295" s="1" t="s">
        <v>815</v>
      </c>
      <c r="E295" s="2"/>
      <c r="F295" s="22"/>
      <c r="G295" s="4" t="s">
        <v>731</v>
      </c>
      <c r="H295" s="3"/>
      <c r="I295" s="3"/>
      <c r="J295" s="1" t="s">
        <v>649</v>
      </c>
      <c r="K295" s="2" t="s">
        <v>0</v>
      </c>
      <c r="L295" s="1" t="s">
        <v>649</v>
      </c>
      <c r="M295" s="2" t="s">
        <v>0</v>
      </c>
      <c r="N295" s="1" t="s">
        <v>649</v>
      </c>
      <c r="O295" s="1" t="s">
        <v>931</v>
      </c>
      <c r="P295" s="24" t="s">
        <v>691</v>
      </c>
    </row>
    <row r="296" spans="1:16" ht="24" customHeight="1" x14ac:dyDescent="0.25">
      <c r="A296" s="1" t="s">
        <v>305</v>
      </c>
      <c r="B296" s="1" t="s">
        <v>822</v>
      </c>
      <c r="C296" s="2" t="s">
        <v>0</v>
      </c>
      <c r="D296" s="1" t="s">
        <v>823</v>
      </c>
      <c r="E296" s="2"/>
      <c r="F296" s="22"/>
      <c r="G296" s="4" t="s">
        <v>731</v>
      </c>
      <c r="H296" s="3"/>
      <c r="I296" s="3"/>
      <c r="J296" s="1" t="s">
        <v>738</v>
      </c>
      <c r="K296" s="2" t="s">
        <v>0</v>
      </c>
      <c r="L296" s="1" t="s">
        <v>649</v>
      </c>
      <c r="M296" s="2"/>
      <c r="N296" s="22"/>
      <c r="O296" s="1" t="s">
        <v>930</v>
      </c>
      <c r="P296" s="24" t="s">
        <v>691</v>
      </c>
    </row>
    <row r="297" spans="1:16" ht="24" customHeight="1" x14ac:dyDescent="0.25">
      <c r="A297" s="1" t="s">
        <v>306</v>
      </c>
      <c r="B297" s="1" t="s">
        <v>822</v>
      </c>
      <c r="C297" s="2" t="s">
        <v>0</v>
      </c>
      <c r="D297" s="1" t="s">
        <v>823</v>
      </c>
      <c r="E297" s="2"/>
      <c r="F297" s="22"/>
      <c r="G297" s="4" t="s">
        <v>731</v>
      </c>
      <c r="H297" s="3"/>
      <c r="I297" s="3"/>
      <c r="J297" s="1" t="s">
        <v>738</v>
      </c>
      <c r="K297" s="2" t="s">
        <v>0</v>
      </c>
      <c r="L297" s="22" t="s">
        <v>639</v>
      </c>
      <c r="M297" s="2" t="s">
        <v>0</v>
      </c>
      <c r="N297" s="22" t="s">
        <v>639</v>
      </c>
      <c r="O297" s="1" t="s">
        <v>931</v>
      </c>
      <c r="P297" s="24" t="s">
        <v>691</v>
      </c>
    </row>
    <row r="298" spans="1:16" ht="24" customHeight="1" x14ac:dyDescent="0.25">
      <c r="A298" s="1" t="s">
        <v>307</v>
      </c>
      <c r="B298" s="1" t="s">
        <v>822</v>
      </c>
      <c r="C298" s="2" t="s">
        <v>0</v>
      </c>
      <c r="D298" s="1" t="s">
        <v>824</v>
      </c>
      <c r="E298" s="2"/>
      <c r="F298" s="22"/>
      <c r="G298" s="4" t="s">
        <v>731</v>
      </c>
      <c r="H298" s="3"/>
      <c r="I298" s="3"/>
      <c r="J298" s="1" t="s">
        <v>688</v>
      </c>
      <c r="K298" s="2" t="s">
        <v>0</v>
      </c>
      <c r="L298" s="1" t="s">
        <v>649</v>
      </c>
      <c r="M298" s="2"/>
      <c r="N298" s="22"/>
      <c r="O298" s="1" t="s">
        <v>930</v>
      </c>
      <c r="P298" s="24" t="s">
        <v>756</v>
      </c>
    </row>
    <row r="299" spans="1:16" ht="24" customHeight="1" x14ac:dyDescent="0.25">
      <c r="A299" s="1" t="s">
        <v>308</v>
      </c>
      <c r="B299" s="1" t="s">
        <v>822</v>
      </c>
      <c r="C299" s="2" t="s">
        <v>0</v>
      </c>
      <c r="D299" s="1" t="s">
        <v>745</v>
      </c>
      <c r="E299" s="2"/>
      <c r="F299" s="22"/>
      <c r="G299" s="4" t="s">
        <v>731</v>
      </c>
      <c r="H299" s="3"/>
      <c r="I299" s="3"/>
      <c r="J299" s="1" t="s">
        <v>688</v>
      </c>
      <c r="K299" s="2" t="s">
        <v>0</v>
      </c>
      <c r="L299" s="22" t="s">
        <v>639</v>
      </c>
      <c r="M299" s="2" t="s">
        <v>0</v>
      </c>
      <c r="N299" s="22" t="s">
        <v>639</v>
      </c>
      <c r="O299" s="1" t="s">
        <v>931</v>
      </c>
      <c r="P299" s="24" t="s">
        <v>691</v>
      </c>
    </row>
    <row r="300" spans="1:16" ht="24" customHeight="1" x14ac:dyDescent="0.25">
      <c r="A300" s="1" t="s">
        <v>309</v>
      </c>
      <c r="B300" s="1" t="s">
        <v>822</v>
      </c>
      <c r="C300" s="2" t="s">
        <v>0</v>
      </c>
      <c r="D300" s="1" t="s">
        <v>826</v>
      </c>
      <c r="E300" s="2"/>
      <c r="F300" s="22"/>
      <c r="G300" s="4" t="s">
        <v>731</v>
      </c>
      <c r="H300" s="3"/>
      <c r="I300" s="3"/>
      <c r="J300" s="1" t="s">
        <v>739</v>
      </c>
      <c r="K300" s="2" t="s">
        <v>0</v>
      </c>
      <c r="L300" s="1" t="s">
        <v>649</v>
      </c>
      <c r="M300" s="2"/>
      <c r="N300" s="22"/>
      <c r="O300" s="1" t="s">
        <v>930</v>
      </c>
      <c r="P300" s="24" t="s">
        <v>691</v>
      </c>
    </row>
    <row r="301" spans="1:16" ht="24" customHeight="1" x14ac:dyDescent="0.25">
      <c r="A301" s="1" t="s">
        <v>310</v>
      </c>
      <c r="B301" s="1" t="s">
        <v>822</v>
      </c>
      <c r="C301" s="2" t="s">
        <v>0</v>
      </c>
      <c r="D301" s="1" t="s">
        <v>826</v>
      </c>
      <c r="E301" s="2"/>
      <c r="F301" s="22"/>
      <c r="G301" s="4" t="s">
        <v>731</v>
      </c>
      <c r="H301" s="3"/>
      <c r="I301" s="3"/>
      <c r="J301" s="1" t="s">
        <v>739</v>
      </c>
      <c r="K301" s="2" t="s">
        <v>0</v>
      </c>
      <c r="L301" s="22" t="s">
        <v>639</v>
      </c>
      <c r="M301" s="2" t="s">
        <v>0</v>
      </c>
      <c r="N301" s="22" t="s">
        <v>639</v>
      </c>
      <c r="O301" s="1" t="s">
        <v>931</v>
      </c>
      <c r="P301" s="24" t="s">
        <v>691</v>
      </c>
    </row>
    <row r="302" spans="1:16" ht="24" customHeight="1" x14ac:dyDescent="0.25">
      <c r="A302" s="1" t="s">
        <v>311</v>
      </c>
      <c r="B302" s="1" t="s">
        <v>822</v>
      </c>
      <c r="C302" s="2" t="s">
        <v>0</v>
      </c>
      <c r="D302" s="1" t="s">
        <v>827</v>
      </c>
      <c r="E302" s="2"/>
      <c r="F302" s="22"/>
      <c r="G302" s="4" t="s">
        <v>731</v>
      </c>
      <c r="H302" s="3"/>
      <c r="I302" s="3"/>
      <c r="J302" s="1" t="s">
        <v>740</v>
      </c>
      <c r="K302" s="2" t="s">
        <v>0</v>
      </c>
      <c r="L302" s="1" t="s">
        <v>649</v>
      </c>
      <c r="M302" s="2"/>
      <c r="N302" s="22"/>
      <c r="O302" s="1" t="s">
        <v>930</v>
      </c>
      <c r="P302" s="24" t="s">
        <v>691</v>
      </c>
    </row>
    <row r="303" spans="1:16" ht="24" customHeight="1" x14ac:dyDescent="0.25">
      <c r="A303" s="1" t="s">
        <v>312</v>
      </c>
      <c r="B303" s="1" t="s">
        <v>822</v>
      </c>
      <c r="C303" s="2" t="s">
        <v>0</v>
      </c>
      <c r="D303" s="1" t="s">
        <v>827</v>
      </c>
      <c r="E303" s="2"/>
      <c r="F303" s="22"/>
      <c r="G303" s="4" t="s">
        <v>731</v>
      </c>
      <c r="H303" s="3"/>
      <c r="I303" s="3"/>
      <c r="J303" s="1" t="s">
        <v>740</v>
      </c>
      <c r="K303" s="2" t="s">
        <v>0</v>
      </c>
      <c r="L303" s="22" t="s">
        <v>639</v>
      </c>
      <c r="M303" s="2" t="s">
        <v>0</v>
      </c>
      <c r="N303" s="22" t="s">
        <v>639</v>
      </c>
      <c r="O303" s="1" t="s">
        <v>931</v>
      </c>
      <c r="P303" s="24" t="s">
        <v>691</v>
      </c>
    </row>
    <row r="304" spans="1:16" ht="24" customHeight="1" x14ac:dyDescent="0.25">
      <c r="A304" s="1" t="s">
        <v>313</v>
      </c>
      <c r="B304" s="1" t="s">
        <v>822</v>
      </c>
      <c r="C304" s="2" t="s">
        <v>0</v>
      </c>
      <c r="D304" s="1" t="s">
        <v>748</v>
      </c>
      <c r="E304" s="2"/>
      <c r="F304" s="22"/>
      <c r="G304" s="4" t="s">
        <v>731</v>
      </c>
      <c r="H304" s="3"/>
      <c r="I304" s="3"/>
      <c r="J304" s="1" t="s">
        <v>653</v>
      </c>
      <c r="K304" s="2" t="s">
        <v>0</v>
      </c>
      <c r="L304" s="1" t="s">
        <v>649</v>
      </c>
      <c r="M304" s="2"/>
      <c r="N304" s="22"/>
      <c r="O304" s="1" t="s">
        <v>930</v>
      </c>
      <c r="P304" s="24" t="s">
        <v>703</v>
      </c>
    </row>
    <row r="305" spans="1:16" ht="24" customHeight="1" x14ac:dyDescent="0.25">
      <c r="A305" s="1" t="s">
        <v>314</v>
      </c>
      <c r="B305" s="1" t="s">
        <v>822</v>
      </c>
      <c r="C305" s="2" t="s">
        <v>0</v>
      </c>
      <c r="D305" s="1" t="s">
        <v>748</v>
      </c>
      <c r="E305" s="2"/>
      <c r="F305" s="22"/>
      <c r="G305" s="4" t="s">
        <v>731</v>
      </c>
      <c r="H305" s="3"/>
      <c r="I305" s="3"/>
      <c r="J305" s="1" t="s">
        <v>653</v>
      </c>
      <c r="K305" s="2" t="s">
        <v>0</v>
      </c>
      <c r="L305" s="22" t="s">
        <v>639</v>
      </c>
      <c r="M305" s="2" t="s">
        <v>0</v>
      </c>
      <c r="N305" s="22" t="s">
        <v>639</v>
      </c>
      <c r="O305" s="1" t="s">
        <v>931</v>
      </c>
      <c r="P305" s="24" t="s">
        <v>703</v>
      </c>
    </row>
    <row r="306" spans="1:16" ht="24" customHeight="1" x14ac:dyDescent="0.25">
      <c r="A306" s="1" t="s">
        <v>315</v>
      </c>
      <c r="B306" s="1" t="s">
        <v>822</v>
      </c>
      <c r="C306" s="2" t="s">
        <v>0</v>
      </c>
      <c r="D306" s="1" t="s">
        <v>749</v>
      </c>
      <c r="E306" s="2"/>
      <c r="F306" s="22"/>
      <c r="G306" s="4" t="s">
        <v>731</v>
      </c>
      <c r="H306" s="3"/>
      <c r="I306" s="3"/>
      <c r="J306" s="1" t="s">
        <v>654</v>
      </c>
      <c r="K306" s="2" t="s">
        <v>0</v>
      </c>
      <c r="L306" s="1" t="s">
        <v>649</v>
      </c>
      <c r="M306" s="2"/>
      <c r="N306" s="22"/>
      <c r="O306" s="1" t="s">
        <v>930</v>
      </c>
      <c r="P306" s="24" t="s">
        <v>703</v>
      </c>
    </row>
    <row r="307" spans="1:16" ht="24" customHeight="1" x14ac:dyDescent="0.25">
      <c r="A307" s="1" t="s">
        <v>316</v>
      </c>
      <c r="B307" s="1" t="s">
        <v>822</v>
      </c>
      <c r="C307" s="2" t="s">
        <v>0</v>
      </c>
      <c r="D307" s="1" t="s">
        <v>749</v>
      </c>
      <c r="E307" s="2"/>
      <c r="F307" s="22"/>
      <c r="G307" s="4" t="s">
        <v>731</v>
      </c>
      <c r="H307" s="3"/>
      <c r="I307" s="3"/>
      <c r="J307" s="1" t="s">
        <v>654</v>
      </c>
      <c r="K307" s="2" t="s">
        <v>0</v>
      </c>
      <c r="L307" s="22" t="s">
        <v>639</v>
      </c>
      <c r="M307" s="2" t="s">
        <v>0</v>
      </c>
      <c r="N307" s="22" t="s">
        <v>639</v>
      </c>
      <c r="O307" s="1" t="s">
        <v>931</v>
      </c>
      <c r="P307" s="24" t="s">
        <v>703</v>
      </c>
    </row>
    <row r="308" spans="1:16" ht="24" customHeight="1" x14ac:dyDescent="0.25">
      <c r="A308" s="1" t="s">
        <v>317</v>
      </c>
      <c r="B308" s="1" t="s">
        <v>825</v>
      </c>
      <c r="C308" s="2" t="s">
        <v>0</v>
      </c>
      <c r="D308" s="1" t="s">
        <v>700</v>
      </c>
      <c r="E308" s="2"/>
      <c r="F308" s="22"/>
      <c r="G308" s="4" t="s">
        <v>731</v>
      </c>
      <c r="H308" s="3"/>
      <c r="I308" s="3"/>
      <c r="J308" s="1" t="s">
        <v>639</v>
      </c>
      <c r="K308" s="2" t="s">
        <v>0</v>
      </c>
      <c r="L308" s="1" t="s">
        <v>649</v>
      </c>
      <c r="M308" s="2" t="s">
        <v>0</v>
      </c>
      <c r="N308" s="1" t="s">
        <v>649</v>
      </c>
      <c r="O308" s="1" t="s">
        <v>931</v>
      </c>
      <c r="P308" s="24" t="s">
        <v>691</v>
      </c>
    </row>
    <row r="309" spans="1:16" ht="24" customHeight="1" x14ac:dyDescent="0.25">
      <c r="A309" s="1" t="s">
        <v>318</v>
      </c>
      <c r="B309" s="1" t="s">
        <v>825</v>
      </c>
      <c r="C309" s="2" t="s">
        <v>0</v>
      </c>
      <c r="D309" s="1" t="s">
        <v>828</v>
      </c>
      <c r="E309" s="2"/>
      <c r="F309" s="22"/>
      <c r="G309" s="4" t="s">
        <v>731</v>
      </c>
      <c r="H309" s="3"/>
      <c r="I309" s="3"/>
      <c r="J309" s="1" t="s">
        <v>649</v>
      </c>
      <c r="K309" s="2" t="s">
        <v>0</v>
      </c>
      <c r="L309" s="1" t="s">
        <v>649</v>
      </c>
      <c r="M309" s="2" t="s">
        <v>0</v>
      </c>
      <c r="N309" s="1" t="s">
        <v>649</v>
      </c>
      <c r="O309" s="1" t="s">
        <v>931</v>
      </c>
      <c r="P309" s="24" t="s">
        <v>691</v>
      </c>
    </row>
    <row r="310" spans="1:16" ht="24" customHeight="1" x14ac:dyDescent="0.25">
      <c r="A310" s="1" t="s">
        <v>319</v>
      </c>
      <c r="B310" s="1" t="s">
        <v>825</v>
      </c>
      <c r="C310" s="2" t="s">
        <v>0</v>
      </c>
      <c r="D310" s="1" t="s">
        <v>829</v>
      </c>
      <c r="E310" s="2"/>
      <c r="F310" s="22"/>
      <c r="G310" s="4" t="s">
        <v>731</v>
      </c>
      <c r="H310" s="3"/>
      <c r="I310" s="3"/>
      <c r="J310" s="1" t="s">
        <v>723</v>
      </c>
      <c r="K310" s="2" t="s">
        <v>0</v>
      </c>
      <c r="L310" s="1" t="s">
        <v>649</v>
      </c>
      <c r="M310" s="2" t="s">
        <v>0</v>
      </c>
      <c r="N310" s="1" t="s">
        <v>649</v>
      </c>
      <c r="O310" s="1" t="s">
        <v>931</v>
      </c>
      <c r="P310" s="24" t="s">
        <v>691</v>
      </c>
    </row>
    <row r="311" spans="1:16" ht="24" customHeight="1" x14ac:dyDescent="0.25">
      <c r="A311" s="1" t="s">
        <v>320</v>
      </c>
      <c r="B311" s="1" t="s">
        <v>825</v>
      </c>
      <c r="C311" s="2" t="s">
        <v>0</v>
      </c>
      <c r="D311" s="1" t="s">
        <v>830</v>
      </c>
      <c r="E311" s="2"/>
      <c r="F311" s="22"/>
      <c r="G311" s="4" t="s">
        <v>731</v>
      </c>
      <c r="H311" s="1" t="s">
        <v>649</v>
      </c>
      <c r="I311" s="2" t="s">
        <v>0</v>
      </c>
      <c r="J311" s="1" t="s">
        <v>649</v>
      </c>
      <c r="K311" s="2" t="s">
        <v>0</v>
      </c>
      <c r="L311" s="1" t="s">
        <v>649</v>
      </c>
      <c r="M311" s="2" t="s">
        <v>0</v>
      </c>
      <c r="N311" s="1" t="s">
        <v>649</v>
      </c>
      <c r="O311" s="1" t="s">
        <v>931</v>
      </c>
      <c r="P311" s="24" t="s">
        <v>691</v>
      </c>
    </row>
    <row r="312" spans="1:16" ht="24" customHeight="1" x14ac:dyDescent="0.25">
      <c r="A312" s="1" t="s">
        <v>321</v>
      </c>
      <c r="B312" s="1" t="s">
        <v>825</v>
      </c>
      <c r="C312" s="2" t="s">
        <v>0</v>
      </c>
      <c r="D312" s="1" t="s">
        <v>823</v>
      </c>
      <c r="E312" s="2"/>
      <c r="F312" s="22"/>
      <c r="G312" s="4" t="s">
        <v>731</v>
      </c>
      <c r="H312" s="3"/>
      <c r="I312" s="3"/>
      <c r="J312" s="1" t="s">
        <v>738</v>
      </c>
      <c r="K312" s="2" t="s">
        <v>0</v>
      </c>
      <c r="L312" s="1" t="s">
        <v>649</v>
      </c>
      <c r="M312" s="2" t="s">
        <v>0</v>
      </c>
      <c r="N312" s="1" t="s">
        <v>649</v>
      </c>
      <c r="O312" s="1" t="s">
        <v>931</v>
      </c>
      <c r="P312" s="24" t="s">
        <v>691</v>
      </c>
    </row>
    <row r="313" spans="1:16" ht="24" customHeight="1" x14ac:dyDescent="0.25">
      <c r="A313" s="1" t="s">
        <v>322</v>
      </c>
      <c r="B313" s="1" t="s">
        <v>825</v>
      </c>
      <c r="C313" s="2" t="s">
        <v>0</v>
      </c>
      <c r="D313" s="1" t="s">
        <v>745</v>
      </c>
      <c r="E313" s="2"/>
      <c r="F313" s="22"/>
      <c r="G313" s="4" t="s">
        <v>731</v>
      </c>
      <c r="H313" s="3"/>
      <c r="I313" s="3"/>
      <c r="J313" s="1" t="s">
        <v>688</v>
      </c>
      <c r="K313" s="2" t="s">
        <v>0</v>
      </c>
      <c r="L313" s="1" t="s">
        <v>649</v>
      </c>
      <c r="M313" s="2" t="s">
        <v>0</v>
      </c>
      <c r="N313" s="1" t="s">
        <v>649</v>
      </c>
      <c r="O313" s="1" t="s">
        <v>931</v>
      </c>
      <c r="P313" s="24" t="s">
        <v>691</v>
      </c>
    </row>
    <row r="314" spans="1:16" ht="24" customHeight="1" x14ac:dyDescent="0.25">
      <c r="A314" s="1" t="s">
        <v>323</v>
      </c>
      <c r="B314" s="1" t="s">
        <v>825</v>
      </c>
      <c r="C314" s="2" t="s">
        <v>0</v>
      </c>
      <c r="D314" s="1" t="s">
        <v>826</v>
      </c>
      <c r="E314" s="2"/>
      <c r="F314" s="22"/>
      <c r="G314" s="4" t="s">
        <v>731</v>
      </c>
      <c r="H314" s="3"/>
      <c r="I314" s="3"/>
      <c r="J314" s="1" t="s">
        <v>739</v>
      </c>
      <c r="K314" s="2" t="s">
        <v>0</v>
      </c>
      <c r="L314" s="1" t="s">
        <v>649</v>
      </c>
      <c r="M314" s="2" t="s">
        <v>0</v>
      </c>
      <c r="N314" s="1" t="s">
        <v>649</v>
      </c>
      <c r="O314" s="1" t="s">
        <v>931</v>
      </c>
      <c r="P314" s="24" t="s">
        <v>691</v>
      </c>
    </row>
    <row r="315" spans="1:16" ht="24" customHeight="1" x14ac:dyDescent="0.25">
      <c r="A315" s="1" t="s">
        <v>324</v>
      </c>
      <c r="B315" s="1" t="s">
        <v>825</v>
      </c>
      <c r="C315" s="2" t="s">
        <v>0</v>
      </c>
      <c r="D315" s="1" t="s">
        <v>827</v>
      </c>
      <c r="E315" s="2"/>
      <c r="F315" s="22"/>
      <c r="G315" s="4" t="s">
        <v>731</v>
      </c>
      <c r="H315" s="3"/>
      <c r="I315" s="3"/>
      <c r="J315" s="1" t="s">
        <v>740</v>
      </c>
      <c r="K315" s="2" t="s">
        <v>0</v>
      </c>
      <c r="L315" s="1" t="s">
        <v>649</v>
      </c>
      <c r="M315" s="2" t="s">
        <v>0</v>
      </c>
      <c r="N315" s="1" t="s">
        <v>649</v>
      </c>
      <c r="O315" s="1" t="s">
        <v>931</v>
      </c>
      <c r="P315" s="24" t="s">
        <v>691</v>
      </c>
    </row>
    <row r="316" spans="1:16" ht="24" customHeight="1" x14ac:dyDescent="0.25">
      <c r="A316" s="1" t="s">
        <v>325</v>
      </c>
      <c r="B316" s="1" t="s">
        <v>825</v>
      </c>
      <c r="C316" s="2" t="s">
        <v>0</v>
      </c>
      <c r="D316" s="1" t="s">
        <v>748</v>
      </c>
      <c r="E316" s="2"/>
      <c r="F316" s="22"/>
      <c r="G316" s="4" t="s">
        <v>731</v>
      </c>
      <c r="H316" s="3"/>
      <c r="I316" s="3"/>
      <c r="J316" s="1" t="s">
        <v>653</v>
      </c>
      <c r="K316" s="2" t="s">
        <v>0</v>
      </c>
      <c r="L316" s="1" t="s">
        <v>649</v>
      </c>
      <c r="M316" s="2" t="s">
        <v>0</v>
      </c>
      <c r="N316" s="1" t="s">
        <v>649</v>
      </c>
      <c r="O316" s="1" t="s">
        <v>931</v>
      </c>
      <c r="P316" s="24" t="s">
        <v>703</v>
      </c>
    </row>
    <row r="317" spans="1:16" ht="24" customHeight="1" x14ac:dyDescent="0.25">
      <c r="A317" s="1" t="s">
        <v>326</v>
      </c>
      <c r="B317" s="1" t="s">
        <v>825</v>
      </c>
      <c r="C317" s="2" t="s">
        <v>0</v>
      </c>
      <c r="D317" s="1" t="s">
        <v>749</v>
      </c>
      <c r="E317" s="2"/>
      <c r="F317" s="22"/>
      <c r="G317" s="4" t="s">
        <v>731</v>
      </c>
      <c r="H317" s="3"/>
      <c r="I317" s="3"/>
      <c r="J317" s="1" t="s">
        <v>654</v>
      </c>
      <c r="K317" s="2" t="s">
        <v>0</v>
      </c>
      <c r="L317" s="1" t="s">
        <v>649</v>
      </c>
      <c r="M317" s="2" t="s">
        <v>0</v>
      </c>
      <c r="N317" s="1" t="s">
        <v>649</v>
      </c>
      <c r="O317" s="1" t="s">
        <v>931</v>
      </c>
      <c r="P317" s="24" t="s">
        <v>703</v>
      </c>
    </row>
    <row r="318" spans="1:16" ht="24" customHeight="1" x14ac:dyDescent="0.25">
      <c r="A318" s="1" t="s">
        <v>327</v>
      </c>
      <c r="B318" s="1" t="s">
        <v>675</v>
      </c>
      <c r="C318" s="2" t="s">
        <v>0</v>
      </c>
      <c r="D318" s="1" t="s">
        <v>823</v>
      </c>
      <c r="E318" s="2"/>
      <c r="F318" s="22"/>
      <c r="G318" s="4" t="s">
        <v>731</v>
      </c>
      <c r="H318" s="3"/>
      <c r="I318" s="3"/>
      <c r="J318" s="1" t="s">
        <v>738</v>
      </c>
      <c r="K318" s="2" t="s">
        <v>0</v>
      </c>
      <c r="L318" s="22" t="s">
        <v>636</v>
      </c>
      <c r="M318" s="2"/>
      <c r="N318" s="22"/>
      <c r="O318" s="1" t="s">
        <v>930</v>
      </c>
      <c r="P318" s="24" t="s">
        <v>690</v>
      </c>
    </row>
    <row r="319" spans="1:16" ht="24" customHeight="1" x14ac:dyDescent="0.25">
      <c r="A319" s="1" t="s">
        <v>328</v>
      </c>
      <c r="B319" s="1" t="s">
        <v>675</v>
      </c>
      <c r="C319" s="2" t="s">
        <v>0</v>
      </c>
      <c r="D319" s="1" t="s">
        <v>824</v>
      </c>
      <c r="E319" s="2"/>
      <c r="F319" s="22"/>
      <c r="G319" s="4" t="s">
        <v>731</v>
      </c>
      <c r="H319" s="3"/>
      <c r="I319" s="3"/>
      <c r="J319" s="1" t="s">
        <v>688</v>
      </c>
      <c r="K319" s="2" t="s">
        <v>0</v>
      </c>
      <c r="L319" s="22" t="s">
        <v>636</v>
      </c>
      <c r="M319" s="2"/>
      <c r="N319" s="22"/>
      <c r="O319" s="1" t="s">
        <v>930</v>
      </c>
      <c r="P319" s="24" t="s">
        <v>690</v>
      </c>
    </row>
    <row r="320" spans="1:16" ht="24" customHeight="1" x14ac:dyDescent="0.25">
      <c r="A320" s="1" t="s">
        <v>329</v>
      </c>
      <c r="B320" s="1" t="s">
        <v>675</v>
      </c>
      <c r="C320" s="2" t="s">
        <v>0</v>
      </c>
      <c r="D320" s="1" t="s">
        <v>826</v>
      </c>
      <c r="E320" s="2"/>
      <c r="F320" s="22"/>
      <c r="G320" s="4" t="s">
        <v>731</v>
      </c>
      <c r="H320" s="3"/>
      <c r="I320" s="3"/>
      <c r="J320" s="1" t="s">
        <v>739</v>
      </c>
      <c r="K320" s="2" t="s">
        <v>0</v>
      </c>
      <c r="L320" s="22" t="s">
        <v>636</v>
      </c>
      <c r="M320" s="2"/>
      <c r="N320" s="22"/>
      <c r="O320" s="1" t="s">
        <v>930</v>
      </c>
      <c r="P320" s="24" t="s">
        <v>690</v>
      </c>
    </row>
    <row r="321" spans="1:16" ht="24" customHeight="1" x14ac:dyDescent="0.25">
      <c r="A321" s="1" t="s">
        <v>330</v>
      </c>
      <c r="B321" s="1" t="s">
        <v>675</v>
      </c>
      <c r="C321" s="2" t="s">
        <v>0</v>
      </c>
      <c r="D321" s="1" t="s">
        <v>827</v>
      </c>
      <c r="E321" s="2"/>
      <c r="F321" s="22"/>
      <c r="G321" s="4" t="s">
        <v>731</v>
      </c>
      <c r="H321" s="3"/>
      <c r="I321" s="3"/>
      <c r="J321" s="1" t="s">
        <v>740</v>
      </c>
      <c r="K321" s="2" t="s">
        <v>0</v>
      </c>
      <c r="L321" s="22" t="s">
        <v>636</v>
      </c>
      <c r="M321" s="2"/>
      <c r="N321" s="22"/>
      <c r="O321" s="1" t="s">
        <v>930</v>
      </c>
      <c r="P321" s="24" t="s">
        <v>690</v>
      </c>
    </row>
    <row r="322" spans="1:16" ht="24" customHeight="1" x14ac:dyDescent="0.25">
      <c r="A322" s="1" t="s">
        <v>331</v>
      </c>
      <c r="B322" s="1" t="s">
        <v>675</v>
      </c>
      <c r="C322" s="2" t="s">
        <v>0</v>
      </c>
      <c r="D322" s="1" t="s">
        <v>700</v>
      </c>
      <c r="E322" s="2"/>
      <c r="F322" s="22"/>
      <c r="G322" s="4" t="s">
        <v>731</v>
      </c>
      <c r="H322" s="3"/>
      <c r="I322" s="3"/>
      <c r="J322" s="1" t="s">
        <v>639</v>
      </c>
      <c r="K322" s="2" t="s">
        <v>0</v>
      </c>
      <c r="L322" s="22" t="s">
        <v>636</v>
      </c>
      <c r="M322" s="2"/>
      <c r="N322" s="22"/>
      <c r="O322" s="1" t="s">
        <v>930</v>
      </c>
      <c r="P322" s="24" t="s">
        <v>756</v>
      </c>
    </row>
    <row r="323" spans="1:16" ht="24" customHeight="1" x14ac:dyDescent="0.25">
      <c r="A323" s="1" t="s">
        <v>332</v>
      </c>
      <c r="B323" s="1" t="s">
        <v>675</v>
      </c>
      <c r="C323" s="2" t="s">
        <v>0</v>
      </c>
      <c r="D323" s="1" t="s">
        <v>828</v>
      </c>
      <c r="E323" s="2"/>
      <c r="F323" s="22"/>
      <c r="G323" s="4" t="s">
        <v>731</v>
      </c>
      <c r="H323" s="3"/>
      <c r="I323" s="3"/>
      <c r="J323" s="1" t="s">
        <v>649</v>
      </c>
      <c r="K323" s="2" t="s">
        <v>0</v>
      </c>
      <c r="L323" s="22" t="s">
        <v>636</v>
      </c>
      <c r="M323" s="2"/>
      <c r="N323" s="22"/>
      <c r="O323" s="1" t="s">
        <v>930</v>
      </c>
      <c r="P323" s="24" t="s">
        <v>756</v>
      </c>
    </row>
    <row r="324" spans="1:16" ht="24" customHeight="1" x14ac:dyDescent="0.25">
      <c r="A324" s="1" t="s">
        <v>333</v>
      </c>
      <c r="B324" s="1" t="s">
        <v>675</v>
      </c>
      <c r="C324" s="2" t="s">
        <v>0</v>
      </c>
      <c r="D324" s="1" t="s">
        <v>829</v>
      </c>
      <c r="E324" s="2"/>
      <c r="F324" s="22"/>
      <c r="G324" s="4" t="s">
        <v>731</v>
      </c>
      <c r="H324" s="3"/>
      <c r="I324" s="3"/>
      <c r="J324" s="1" t="s">
        <v>723</v>
      </c>
      <c r="K324" s="2" t="s">
        <v>0</v>
      </c>
      <c r="L324" s="22" t="s">
        <v>636</v>
      </c>
      <c r="M324" s="2"/>
      <c r="N324" s="22"/>
      <c r="O324" s="1" t="s">
        <v>930</v>
      </c>
      <c r="P324" s="24" t="s">
        <v>756</v>
      </c>
    </row>
    <row r="325" spans="1:16" ht="24" customHeight="1" x14ac:dyDescent="0.25">
      <c r="A325" s="1" t="s">
        <v>334</v>
      </c>
      <c r="B325" s="1" t="s">
        <v>675</v>
      </c>
      <c r="C325" s="2" t="s">
        <v>0</v>
      </c>
      <c r="D325" s="1" t="s">
        <v>830</v>
      </c>
      <c r="E325" s="2"/>
      <c r="F325" s="22"/>
      <c r="G325" s="4" t="s">
        <v>731</v>
      </c>
      <c r="H325" s="3"/>
      <c r="I325" s="3"/>
      <c r="J325" s="1" t="s">
        <v>649</v>
      </c>
      <c r="K325" s="2" t="s">
        <v>0</v>
      </c>
      <c r="L325" s="1" t="s">
        <v>649</v>
      </c>
      <c r="M325" s="2" t="s">
        <v>0</v>
      </c>
      <c r="N325" s="22" t="s">
        <v>636</v>
      </c>
      <c r="O325" s="1" t="s">
        <v>931</v>
      </c>
      <c r="P325" s="24" t="s">
        <v>690</v>
      </c>
    </row>
    <row r="326" spans="1:16" ht="24" customHeight="1" x14ac:dyDescent="0.25">
      <c r="A326" s="1" t="s">
        <v>335</v>
      </c>
      <c r="B326" s="1" t="s">
        <v>675</v>
      </c>
      <c r="C326" s="2" t="s">
        <v>0</v>
      </c>
      <c r="D326" s="1" t="s">
        <v>748</v>
      </c>
      <c r="E326" s="2"/>
      <c r="F326" s="22"/>
      <c r="G326" s="4" t="s">
        <v>731</v>
      </c>
      <c r="H326" s="3"/>
      <c r="I326" s="3"/>
      <c r="J326" s="1" t="s">
        <v>636</v>
      </c>
      <c r="K326" s="2" t="s">
        <v>0</v>
      </c>
      <c r="L326" s="22" t="s">
        <v>653</v>
      </c>
      <c r="M326" s="2"/>
      <c r="N326" s="22"/>
      <c r="O326" s="1" t="s">
        <v>930</v>
      </c>
      <c r="P326" s="24" t="s">
        <v>703</v>
      </c>
    </row>
    <row r="327" spans="1:16" ht="24" customHeight="1" x14ac:dyDescent="0.25">
      <c r="A327" s="1" t="s">
        <v>336</v>
      </c>
      <c r="B327" s="1" t="s">
        <v>675</v>
      </c>
      <c r="C327" s="2" t="s">
        <v>0</v>
      </c>
      <c r="D327" s="1" t="s">
        <v>749</v>
      </c>
      <c r="E327" s="2"/>
      <c r="F327" s="22"/>
      <c r="G327" s="4" t="s">
        <v>731</v>
      </c>
      <c r="H327" s="3"/>
      <c r="I327" s="3"/>
      <c r="J327" s="1" t="s">
        <v>636</v>
      </c>
      <c r="K327" s="2" t="s">
        <v>0</v>
      </c>
      <c r="L327" s="22" t="s">
        <v>654</v>
      </c>
      <c r="M327" s="2"/>
      <c r="N327" s="22"/>
      <c r="O327" s="1" t="s">
        <v>930</v>
      </c>
      <c r="P327" s="24" t="s">
        <v>703</v>
      </c>
    </row>
    <row r="328" spans="1:16" ht="24" customHeight="1" x14ac:dyDescent="0.25">
      <c r="A328" s="1" t="s">
        <v>337</v>
      </c>
      <c r="B328" s="1" t="s">
        <v>831</v>
      </c>
      <c r="C328" s="2" t="s">
        <v>0</v>
      </c>
      <c r="D328" s="1" t="s">
        <v>823</v>
      </c>
      <c r="E328" s="2"/>
      <c r="F328" s="22"/>
      <c r="G328" s="4" t="s">
        <v>731</v>
      </c>
      <c r="H328" s="3"/>
      <c r="I328" s="3"/>
      <c r="J328" s="1" t="s">
        <v>738</v>
      </c>
      <c r="K328" s="2" t="s">
        <v>0</v>
      </c>
      <c r="L328" s="1" t="s">
        <v>689</v>
      </c>
      <c r="M328" s="2"/>
      <c r="N328" s="22"/>
      <c r="O328" s="1" t="s">
        <v>930</v>
      </c>
      <c r="P328" s="24" t="s">
        <v>690</v>
      </c>
    </row>
    <row r="329" spans="1:16" ht="24" customHeight="1" x14ac:dyDescent="0.25">
      <c r="A329" s="1" t="s">
        <v>338</v>
      </c>
      <c r="B329" s="1" t="s">
        <v>831</v>
      </c>
      <c r="C329" s="2" t="s">
        <v>0</v>
      </c>
      <c r="D329" s="1" t="s">
        <v>823</v>
      </c>
      <c r="E329" s="2"/>
      <c r="F329" s="22"/>
      <c r="G329" s="4" t="s">
        <v>731</v>
      </c>
      <c r="H329" s="3"/>
      <c r="I329" s="3"/>
      <c r="J329" s="1" t="s">
        <v>738</v>
      </c>
      <c r="K329" s="2" t="s">
        <v>0</v>
      </c>
      <c r="L329" s="22" t="s">
        <v>636</v>
      </c>
      <c r="M329" s="2" t="s">
        <v>0</v>
      </c>
      <c r="N329" s="22" t="s">
        <v>636</v>
      </c>
      <c r="O329" s="1" t="s">
        <v>931</v>
      </c>
      <c r="P329" s="24" t="s">
        <v>690</v>
      </c>
    </row>
    <row r="330" spans="1:16" ht="24" customHeight="1" x14ac:dyDescent="0.25">
      <c r="A330" s="1" t="s">
        <v>339</v>
      </c>
      <c r="B330" s="1" t="s">
        <v>831</v>
      </c>
      <c r="C330" s="2" t="s">
        <v>0</v>
      </c>
      <c r="D330" s="1" t="s">
        <v>824</v>
      </c>
      <c r="E330" s="2"/>
      <c r="F330" s="22"/>
      <c r="G330" s="4" t="s">
        <v>731</v>
      </c>
      <c r="H330" s="3"/>
      <c r="I330" s="3"/>
      <c r="J330" s="1" t="s">
        <v>688</v>
      </c>
      <c r="K330" s="2" t="s">
        <v>0</v>
      </c>
      <c r="L330" s="1" t="s">
        <v>689</v>
      </c>
      <c r="M330" s="2"/>
      <c r="N330" s="22"/>
      <c r="O330" s="1" t="s">
        <v>930</v>
      </c>
      <c r="P330" s="24" t="s">
        <v>756</v>
      </c>
    </row>
    <row r="331" spans="1:16" ht="24" customHeight="1" x14ac:dyDescent="0.25">
      <c r="A331" s="1" t="s">
        <v>340</v>
      </c>
      <c r="B331" s="1" t="s">
        <v>831</v>
      </c>
      <c r="C331" s="2" t="s">
        <v>0</v>
      </c>
      <c r="D331" s="1" t="s">
        <v>824</v>
      </c>
      <c r="E331" s="2"/>
      <c r="F331" s="22"/>
      <c r="G331" s="4" t="s">
        <v>731</v>
      </c>
      <c r="H331" s="3"/>
      <c r="I331" s="3"/>
      <c r="J331" s="1" t="s">
        <v>688</v>
      </c>
      <c r="K331" s="2" t="s">
        <v>0</v>
      </c>
      <c r="L331" s="22" t="s">
        <v>636</v>
      </c>
      <c r="M331" s="2" t="s">
        <v>0</v>
      </c>
      <c r="N331" s="22" t="s">
        <v>636</v>
      </c>
      <c r="O331" s="1" t="s">
        <v>931</v>
      </c>
      <c r="P331" s="24" t="s">
        <v>690</v>
      </c>
    </row>
    <row r="332" spans="1:16" ht="24" customHeight="1" x14ac:dyDescent="0.25">
      <c r="A332" s="1" t="s">
        <v>341</v>
      </c>
      <c r="B332" s="1" t="s">
        <v>831</v>
      </c>
      <c r="C332" s="2" t="s">
        <v>0</v>
      </c>
      <c r="D332" s="1" t="s">
        <v>826</v>
      </c>
      <c r="E332" s="2"/>
      <c r="F332" s="22"/>
      <c r="G332" s="4" t="s">
        <v>731</v>
      </c>
      <c r="H332" s="3"/>
      <c r="I332" s="3"/>
      <c r="J332" s="1" t="s">
        <v>739</v>
      </c>
      <c r="K332" s="2" t="s">
        <v>0</v>
      </c>
      <c r="L332" s="1" t="s">
        <v>689</v>
      </c>
      <c r="M332" s="2"/>
      <c r="N332" s="22"/>
      <c r="O332" s="1" t="s">
        <v>930</v>
      </c>
      <c r="P332" s="24" t="s">
        <v>756</v>
      </c>
    </row>
    <row r="333" spans="1:16" ht="24" customHeight="1" x14ac:dyDescent="0.25">
      <c r="A333" s="1" t="s">
        <v>342</v>
      </c>
      <c r="B333" s="1" t="s">
        <v>831</v>
      </c>
      <c r="C333" s="2" t="s">
        <v>0</v>
      </c>
      <c r="D333" s="1" t="s">
        <v>826</v>
      </c>
      <c r="E333" s="2"/>
      <c r="F333" s="22"/>
      <c r="G333" s="4" t="s">
        <v>731</v>
      </c>
      <c r="H333" s="3"/>
      <c r="I333" s="3"/>
      <c r="J333" s="1" t="s">
        <v>739</v>
      </c>
      <c r="K333" s="2" t="s">
        <v>0</v>
      </c>
      <c r="L333" s="22" t="s">
        <v>636</v>
      </c>
      <c r="M333" s="2" t="s">
        <v>0</v>
      </c>
      <c r="N333" s="22" t="s">
        <v>636</v>
      </c>
      <c r="O333" s="1" t="s">
        <v>931</v>
      </c>
      <c r="P333" s="24" t="s">
        <v>690</v>
      </c>
    </row>
    <row r="334" spans="1:16" ht="24" customHeight="1" x14ac:dyDescent="0.25">
      <c r="A334" s="1" t="s">
        <v>343</v>
      </c>
      <c r="B334" s="1" t="s">
        <v>831</v>
      </c>
      <c r="C334" s="2" t="s">
        <v>0</v>
      </c>
      <c r="D334" s="1" t="s">
        <v>827</v>
      </c>
      <c r="E334" s="2"/>
      <c r="F334" s="22"/>
      <c r="G334" s="4" t="s">
        <v>731</v>
      </c>
      <c r="H334" s="3"/>
      <c r="I334" s="3"/>
      <c r="J334" s="1" t="s">
        <v>740</v>
      </c>
      <c r="K334" s="2" t="s">
        <v>0</v>
      </c>
      <c r="L334" s="1" t="s">
        <v>689</v>
      </c>
      <c r="M334" s="2"/>
      <c r="N334" s="22"/>
      <c r="O334" s="1" t="s">
        <v>930</v>
      </c>
      <c r="P334" s="24" t="s">
        <v>690</v>
      </c>
    </row>
    <row r="335" spans="1:16" ht="24" customHeight="1" x14ac:dyDescent="0.25">
      <c r="A335" s="1" t="s">
        <v>344</v>
      </c>
      <c r="B335" s="1" t="s">
        <v>831</v>
      </c>
      <c r="C335" s="2" t="s">
        <v>0</v>
      </c>
      <c r="D335" s="1" t="s">
        <v>827</v>
      </c>
      <c r="E335" s="2"/>
      <c r="F335" s="22"/>
      <c r="G335" s="4" t="s">
        <v>731</v>
      </c>
      <c r="H335" s="3"/>
      <c r="I335" s="3"/>
      <c r="J335" s="1" t="s">
        <v>740</v>
      </c>
      <c r="K335" s="2" t="s">
        <v>0</v>
      </c>
      <c r="L335" s="22" t="s">
        <v>636</v>
      </c>
      <c r="M335" s="2" t="s">
        <v>0</v>
      </c>
      <c r="N335" s="22" t="s">
        <v>636</v>
      </c>
      <c r="O335" s="1" t="s">
        <v>931</v>
      </c>
      <c r="P335" s="24" t="s">
        <v>690</v>
      </c>
    </row>
    <row r="336" spans="1:16" ht="24" customHeight="1" x14ac:dyDescent="0.25">
      <c r="A336" s="1" t="s">
        <v>345</v>
      </c>
      <c r="B336" s="1" t="s">
        <v>831</v>
      </c>
      <c r="C336" s="2" t="s">
        <v>0</v>
      </c>
      <c r="D336" s="1" t="s">
        <v>700</v>
      </c>
      <c r="E336" s="2"/>
      <c r="F336" s="22"/>
      <c r="G336" s="4" t="s">
        <v>731</v>
      </c>
      <c r="H336" s="3"/>
      <c r="I336" s="3"/>
      <c r="J336" s="1" t="s">
        <v>639</v>
      </c>
      <c r="K336" s="2" t="s">
        <v>0</v>
      </c>
      <c r="L336" s="22" t="s">
        <v>636</v>
      </c>
      <c r="M336" s="2" t="s">
        <v>0</v>
      </c>
      <c r="N336" s="22" t="s">
        <v>636</v>
      </c>
      <c r="O336" s="1" t="s">
        <v>931</v>
      </c>
      <c r="P336" s="24" t="s">
        <v>690</v>
      </c>
    </row>
    <row r="337" spans="1:16" ht="24" customHeight="1" x14ac:dyDescent="0.25">
      <c r="A337" s="1" t="s">
        <v>346</v>
      </c>
      <c r="B337" s="1" t="s">
        <v>831</v>
      </c>
      <c r="C337" s="2" t="s">
        <v>0</v>
      </c>
      <c r="D337" s="1" t="s">
        <v>700</v>
      </c>
      <c r="E337" s="2"/>
      <c r="F337" s="22"/>
      <c r="G337" s="4" t="s">
        <v>731</v>
      </c>
      <c r="H337" s="3"/>
      <c r="I337" s="3"/>
      <c r="J337" s="1" t="s">
        <v>639</v>
      </c>
      <c r="K337" s="2" t="s">
        <v>0</v>
      </c>
      <c r="L337" s="1" t="s">
        <v>689</v>
      </c>
      <c r="M337" s="2"/>
      <c r="N337" s="22"/>
      <c r="O337" s="1" t="s">
        <v>930</v>
      </c>
      <c r="P337" s="24" t="s">
        <v>690</v>
      </c>
    </row>
    <row r="338" spans="1:16" ht="24" customHeight="1" x14ac:dyDescent="0.25">
      <c r="A338" s="1" t="s">
        <v>347</v>
      </c>
      <c r="B338" s="1" t="s">
        <v>831</v>
      </c>
      <c r="C338" s="2" t="s">
        <v>0</v>
      </c>
      <c r="D338" s="1" t="s">
        <v>828</v>
      </c>
      <c r="E338" s="2"/>
      <c r="F338" s="22"/>
      <c r="G338" s="4" t="s">
        <v>731</v>
      </c>
      <c r="H338" s="3"/>
      <c r="I338" s="3"/>
      <c r="J338" s="1" t="s">
        <v>649</v>
      </c>
      <c r="K338" s="2" t="s">
        <v>0</v>
      </c>
      <c r="L338" s="22" t="s">
        <v>636</v>
      </c>
      <c r="M338" s="2" t="s">
        <v>0</v>
      </c>
      <c r="N338" s="22" t="s">
        <v>636</v>
      </c>
      <c r="O338" s="1" t="s">
        <v>931</v>
      </c>
      <c r="P338" s="24" t="s">
        <v>690</v>
      </c>
    </row>
    <row r="339" spans="1:16" ht="24" customHeight="1" x14ac:dyDescent="0.25">
      <c r="A339" s="1" t="s">
        <v>348</v>
      </c>
      <c r="B339" s="1" t="s">
        <v>831</v>
      </c>
      <c r="C339" s="2" t="s">
        <v>0</v>
      </c>
      <c r="D339" s="1" t="s">
        <v>828</v>
      </c>
      <c r="E339" s="2"/>
      <c r="F339" s="22"/>
      <c r="G339" s="4" t="s">
        <v>731</v>
      </c>
      <c r="H339" s="3"/>
      <c r="I339" s="3"/>
      <c r="J339" s="1" t="s">
        <v>649</v>
      </c>
      <c r="K339" s="2" t="s">
        <v>0</v>
      </c>
      <c r="L339" s="1" t="s">
        <v>689</v>
      </c>
      <c r="M339" s="2"/>
      <c r="N339" s="22"/>
      <c r="O339" s="1" t="s">
        <v>930</v>
      </c>
      <c r="P339" s="24" t="s">
        <v>756</v>
      </c>
    </row>
    <row r="340" spans="1:16" ht="24" customHeight="1" x14ac:dyDescent="0.25">
      <c r="A340" s="1" t="s">
        <v>349</v>
      </c>
      <c r="B340" s="1" t="s">
        <v>831</v>
      </c>
      <c r="C340" s="2" t="s">
        <v>0</v>
      </c>
      <c r="D340" s="1" t="s">
        <v>829</v>
      </c>
      <c r="E340" s="2"/>
      <c r="F340" s="22"/>
      <c r="G340" s="4" t="s">
        <v>731</v>
      </c>
      <c r="H340" s="3"/>
      <c r="I340" s="3"/>
      <c r="J340" s="1" t="s">
        <v>723</v>
      </c>
      <c r="K340" s="2" t="s">
        <v>0</v>
      </c>
      <c r="L340" s="22" t="s">
        <v>636</v>
      </c>
      <c r="M340" s="2" t="s">
        <v>0</v>
      </c>
      <c r="N340" s="22" t="s">
        <v>636</v>
      </c>
      <c r="O340" s="1" t="s">
        <v>931</v>
      </c>
      <c r="P340" s="24" t="s">
        <v>690</v>
      </c>
    </row>
    <row r="341" spans="1:16" ht="24" customHeight="1" x14ac:dyDescent="0.25">
      <c r="A341" s="1" t="s">
        <v>350</v>
      </c>
      <c r="B341" s="1" t="s">
        <v>831</v>
      </c>
      <c r="C341" s="2" t="s">
        <v>0</v>
      </c>
      <c r="D341" s="1" t="s">
        <v>829</v>
      </c>
      <c r="E341" s="2"/>
      <c r="F341" s="22"/>
      <c r="G341" s="4" t="s">
        <v>731</v>
      </c>
      <c r="H341" s="3"/>
      <c r="I341" s="3"/>
      <c r="J341" s="1" t="s">
        <v>723</v>
      </c>
      <c r="K341" s="2" t="s">
        <v>0</v>
      </c>
      <c r="L341" s="1" t="s">
        <v>689</v>
      </c>
      <c r="M341" s="2"/>
      <c r="N341" s="22"/>
      <c r="O341" s="1" t="s">
        <v>930</v>
      </c>
      <c r="P341" s="24" t="s">
        <v>756</v>
      </c>
    </row>
    <row r="342" spans="1:16" ht="24" customHeight="1" x14ac:dyDescent="0.25">
      <c r="A342" s="1" t="s">
        <v>351</v>
      </c>
      <c r="B342" s="1" t="s">
        <v>831</v>
      </c>
      <c r="C342" s="2" t="s">
        <v>0</v>
      </c>
      <c r="D342" s="1" t="s">
        <v>830</v>
      </c>
      <c r="E342" s="2"/>
      <c r="F342" s="22"/>
      <c r="G342" s="4" t="s">
        <v>731</v>
      </c>
      <c r="H342" s="3"/>
      <c r="I342" s="3"/>
      <c r="J342" s="1" t="s">
        <v>649</v>
      </c>
      <c r="K342" s="2" t="s">
        <v>0</v>
      </c>
      <c r="L342" s="1" t="s">
        <v>649</v>
      </c>
      <c r="M342" s="2" t="s">
        <v>0</v>
      </c>
      <c r="N342" s="1" t="s">
        <v>689</v>
      </c>
      <c r="O342" s="1" t="s">
        <v>931</v>
      </c>
      <c r="P342" s="24" t="s">
        <v>690</v>
      </c>
    </row>
    <row r="343" spans="1:16" ht="24" customHeight="1" x14ac:dyDescent="0.25">
      <c r="A343" s="1" t="s">
        <v>352</v>
      </c>
      <c r="B343" s="1" t="s">
        <v>831</v>
      </c>
      <c r="C343" s="2" t="s">
        <v>0</v>
      </c>
      <c r="D343" s="1" t="s">
        <v>748</v>
      </c>
      <c r="E343" s="2"/>
      <c r="F343" s="22"/>
      <c r="G343" s="4" t="s">
        <v>731</v>
      </c>
      <c r="H343" s="3"/>
      <c r="I343" s="3"/>
      <c r="J343" s="1" t="s">
        <v>653</v>
      </c>
      <c r="K343" s="2" t="s">
        <v>0</v>
      </c>
      <c r="L343" s="1" t="s">
        <v>689</v>
      </c>
      <c r="M343" s="2"/>
      <c r="N343" s="22"/>
      <c r="O343" s="1" t="s">
        <v>930</v>
      </c>
      <c r="P343" s="24" t="s">
        <v>703</v>
      </c>
    </row>
    <row r="344" spans="1:16" ht="24" customHeight="1" x14ac:dyDescent="0.25">
      <c r="A344" s="1" t="s">
        <v>353</v>
      </c>
      <c r="B344" s="1" t="s">
        <v>831</v>
      </c>
      <c r="C344" s="2" t="s">
        <v>0</v>
      </c>
      <c r="D344" s="1" t="s">
        <v>748</v>
      </c>
      <c r="E344" s="2"/>
      <c r="F344" s="22"/>
      <c r="G344" s="4" t="s">
        <v>731</v>
      </c>
      <c r="H344" s="3"/>
      <c r="I344" s="3"/>
      <c r="J344" s="1" t="s">
        <v>653</v>
      </c>
      <c r="K344" s="2" t="s">
        <v>0</v>
      </c>
      <c r="L344" s="22" t="s">
        <v>636</v>
      </c>
      <c r="M344" s="2" t="s">
        <v>0</v>
      </c>
      <c r="N344" s="22" t="s">
        <v>636</v>
      </c>
      <c r="O344" s="1" t="s">
        <v>931</v>
      </c>
      <c r="P344" s="24" t="s">
        <v>690</v>
      </c>
    </row>
    <row r="345" spans="1:16" ht="24" customHeight="1" x14ac:dyDescent="0.25">
      <c r="A345" s="1" t="s">
        <v>354</v>
      </c>
      <c r="B345" s="1" t="s">
        <v>831</v>
      </c>
      <c r="C345" s="2" t="s">
        <v>0</v>
      </c>
      <c r="D345" s="1" t="s">
        <v>749</v>
      </c>
      <c r="E345" s="2"/>
      <c r="F345" s="22"/>
      <c r="G345" s="4" t="s">
        <v>731</v>
      </c>
      <c r="H345" s="3"/>
      <c r="I345" s="3"/>
      <c r="J345" s="1" t="s">
        <v>654</v>
      </c>
      <c r="K345" s="2" t="s">
        <v>0</v>
      </c>
      <c r="L345" s="1" t="s">
        <v>689</v>
      </c>
      <c r="M345" s="2"/>
      <c r="N345" s="22"/>
      <c r="O345" s="1" t="s">
        <v>930</v>
      </c>
      <c r="P345" s="24" t="s">
        <v>703</v>
      </c>
    </row>
    <row r="346" spans="1:16" ht="24" customHeight="1" x14ac:dyDescent="0.25">
      <c r="A346" s="1" t="s">
        <v>355</v>
      </c>
      <c r="B346" s="1" t="s">
        <v>831</v>
      </c>
      <c r="C346" s="2" t="s">
        <v>0</v>
      </c>
      <c r="D346" s="1" t="s">
        <v>749</v>
      </c>
      <c r="E346" s="2"/>
      <c r="F346" s="22"/>
      <c r="G346" s="4" t="s">
        <v>731</v>
      </c>
      <c r="H346" s="3"/>
      <c r="I346" s="3"/>
      <c r="J346" s="1" t="s">
        <v>654</v>
      </c>
      <c r="K346" s="2" t="s">
        <v>0</v>
      </c>
      <c r="L346" s="22" t="s">
        <v>636</v>
      </c>
      <c r="M346" s="2" t="s">
        <v>0</v>
      </c>
      <c r="N346" s="22" t="s">
        <v>636</v>
      </c>
      <c r="O346" s="1" t="s">
        <v>931</v>
      </c>
      <c r="P346" s="24" t="s">
        <v>690</v>
      </c>
    </row>
    <row r="347" spans="1:16" ht="24" customHeight="1" x14ac:dyDescent="0.25">
      <c r="A347" s="1" t="s">
        <v>356</v>
      </c>
      <c r="B347" s="1" t="s">
        <v>680</v>
      </c>
      <c r="C347" s="2" t="s">
        <v>0</v>
      </c>
      <c r="D347" s="1" t="s">
        <v>823</v>
      </c>
      <c r="E347" s="2"/>
      <c r="F347" s="22"/>
      <c r="G347" s="4" t="s">
        <v>731</v>
      </c>
      <c r="H347" s="3"/>
      <c r="I347" s="3"/>
      <c r="J347" s="1" t="s">
        <v>738</v>
      </c>
      <c r="K347" s="2" t="s">
        <v>0</v>
      </c>
      <c r="L347" s="1" t="s">
        <v>738</v>
      </c>
      <c r="M347" s="2"/>
      <c r="N347" s="22"/>
      <c r="O347" s="1" t="s">
        <v>930</v>
      </c>
      <c r="P347" s="24" t="s">
        <v>756</v>
      </c>
    </row>
    <row r="348" spans="1:16" ht="24" customHeight="1" x14ac:dyDescent="0.25">
      <c r="A348" s="1" t="s">
        <v>357</v>
      </c>
      <c r="B348" s="1" t="s">
        <v>680</v>
      </c>
      <c r="C348" s="2" t="s">
        <v>0</v>
      </c>
      <c r="D348" s="1" t="s">
        <v>823</v>
      </c>
      <c r="E348" s="2"/>
      <c r="F348" s="22"/>
      <c r="G348" s="4" t="s">
        <v>731</v>
      </c>
      <c r="H348" s="3"/>
      <c r="I348" s="3"/>
      <c r="J348" s="1" t="s">
        <v>738</v>
      </c>
      <c r="K348" s="2" t="s">
        <v>0</v>
      </c>
      <c r="L348" s="1" t="s">
        <v>689</v>
      </c>
      <c r="M348" s="2" t="s">
        <v>0</v>
      </c>
      <c r="N348" s="22" t="s">
        <v>639</v>
      </c>
      <c r="O348" s="1" t="s">
        <v>931</v>
      </c>
      <c r="P348" s="24" t="s">
        <v>690</v>
      </c>
    </row>
    <row r="349" spans="1:16" ht="24" customHeight="1" x14ac:dyDescent="0.25">
      <c r="A349" s="1" t="s">
        <v>358</v>
      </c>
      <c r="B349" s="1" t="s">
        <v>680</v>
      </c>
      <c r="C349" s="2" t="s">
        <v>0</v>
      </c>
      <c r="D349" s="1" t="s">
        <v>824</v>
      </c>
      <c r="E349" s="2"/>
      <c r="F349" s="22"/>
      <c r="G349" s="4" t="s">
        <v>731</v>
      </c>
      <c r="H349" s="3"/>
      <c r="I349" s="3"/>
      <c r="J349" s="1" t="s">
        <v>688</v>
      </c>
      <c r="K349" s="2" t="s">
        <v>0</v>
      </c>
      <c r="L349" s="1" t="s">
        <v>738</v>
      </c>
      <c r="M349" s="2"/>
      <c r="N349" s="22"/>
      <c r="O349" s="1" t="s">
        <v>930</v>
      </c>
      <c r="P349" s="24" t="s">
        <v>756</v>
      </c>
    </row>
    <row r="350" spans="1:16" ht="24" customHeight="1" x14ac:dyDescent="0.25">
      <c r="A350" s="1" t="s">
        <v>359</v>
      </c>
      <c r="B350" s="1" t="s">
        <v>680</v>
      </c>
      <c r="C350" s="2" t="s">
        <v>0</v>
      </c>
      <c r="D350" s="1" t="s">
        <v>824</v>
      </c>
      <c r="E350" s="2"/>
      <c r="F350" s="22"/>
      <c r="G350" s="4" t="s">
        <v>731</v>
      </c>
      <c r="H350" s="3"/>
      <c r="I350" s="3"/>
      <c r="J350" s="1" t="s">
        <v>688</v>
      </c>
      <c r="K350" s="2" t="s">
        <v>0</v>
      </c>
      <c r="L350" s="1" t="s">
        <v>689</v>
      </c>
      <c r="M350" s="2" t="s">
        <v>0</v>
      </c>
      <c r="N350" s="22" t="s">
        <v>639</v>
      </c>
      <c r="O350" s="1" t="s">
        <v>931</v>
      </c>
      <c r="P350" s="24" t="s">
        <v>690</v>
      </c>
    </row>
    <row r="351" spans="1:16" ht="24" customHeight="1" x14ac:dyDescent="0.25">
      <c r="A351" s="1" t="s">
        <v>360</v>
      </c>
      <c r="B351" s="1" t="s">
        <v>680</v>
      </c>
      <c r="C351" s="2" t="s">
        <v>0</v>
      </c>
      <c r="D351" s="1" t="s">
        <v>826</v>
      </c>
      <c r="E351" s="2"/>
      <c r="F351" s="22"/>
      <c r="G351" s="4" t="s">
        <v>731</v>
      </c>
      <c r="H351" s="3"/>
      <c r="I351" s="3"/>
      <c r="J351" s="1" t="s">
        <v>739</v>
      </c>
      <c r="K351" s="2" t="s">
        <v>0</v>
      </c>
      <c r="L351" s="1" t="s">
        <v>738</v>
      </c>
      <c r="M351" s="2"/>
      <c r="N351" s="22"/>
      <c r="O351" s="1" t="s">
        <v>930</v>
      </c>
      <c r="P351" s="24" t="s">
        <v>756</v>
      </c>
    </row>
    <row r="352" spans="1:16" ht="24" customHeight="1" x14ac:dyDescent="0.25">
      <c r="A352" s="1" t="s">
        <v>361</v>
      </c>
      <c r="B352" s="1" t="s">
        <v>680</v>
      </c>
      <c r="C352" s="2" t="s">
        <v>0</v>
      </c>
      <c r="D352" s="1" t="s">
        <v>826</v>
      </c>
      <c r="E352" s="2"/>
      <c r="F352" s="22"/>
      <c r="G352" s="4" t="s">
        <v>731</v>
      </c>
      <c r="H352" s="3"/>
      <c r="I352" s="3"/>
      <c r="J352" s="1" t="s">
        <v>739</v>
      </c>
      <c r="K352" s="2" t="s">
        <v>0</v>
      </c>
      <c r="L352" s="1" t="s">
        <v>689</v>
      </c>
      <c r="M352" s="2" t="s">
        <v>0</v>
      </c>
      <c r="N352" s="22" t="s">
        <v>639</v>
      </c>
      <c r="O352" s="1" t="s">
        <v>931</v>
      </c>
      <c r="P352" s="24" t="s">
        <v>690</v>
      </c>
    </row>
    <row r="353" spans="1:16" ht="24" customHeight="1" x14ac:dyDescent="0.25">
      <c r="A353" s="1" t="s">
        <v>362</v>
      </c>
      <c r="B353" s="1" t="s">
        <v>680</v>
      </c>
      <c r="C353" s="2" t="s">
        <v>0</v>
      </c>
      <c r="D353" s="1" t="s">
        <v>827</v>
      </c>
      <c r="E353" s="2"/>
      <c r="F353" s="22"/>
      <c r="G353" s="4" t="s">
        <v>731</v>
      </c>
      <c r="H353" s="3"/>
      <c r="I353" s="3"/>
      <c r="J353" s="1" t="s">
        <v>740</v>
      </c>
      <c r="K353" s="2" t="s">
        <v>0</v>
      </c>
      <c r="L353" s="1" t="s">
        <v>738</v>
      </c>
      <c r="M353" s="2"/>
      <c r="N353" s="22"/>
      <c r="O353" s="1" t="s">
        <v>930</v>
      </c>
      <c r="P353" s="24" t="s">
        <v>756</v>
      </c>
    </row>
    <row r="354" spans="1:16" ht="24" customHeight="1" x14ac:dyDescent="0.25">
      <c r="A354" s="1" t="s">
        <v>363</v>
      </c>
      <c r="B354" s="1" t="s">
        <v>680</v>
      </c>
      <c r="C354" s="2" t="s">
        <v>0</v>
      </c>
      <c r="D354" s="1" t="s">
        <v>827</v>
      </c>
      <c r="E354" s="2"/>
      <c r="F354" s="22"/>
      <c r="G354" s="4" t="s">
        <v>731</v>
      </c>
      <c r="H354" s="3"/>
      <c r="I354" s="3"/>
      <c r="J354" s="1" t="s">
        <v>740</v>
      </c>
      <c r="K354" s="2" t="s">
        <v>0</v>
      </c>
      <c r="L354" s="1" t="s">
        <v>689</v>
      </c>
      <c r="M354" s="2" t="s">
        <v>0</v>
      </c>
      <c r="N354" s="22" t="s">
        <v>639</v>
      </c>
      <c r="O354" s="1" t="s">
        <v>931</v>
      </c>
      <c r="P354" s="24" t="s">
        <v>690</v>
      </c>
    </row>
    <row r="355" spans="1:16" ht="24" customHeight="1" x14ac:dyDescent="0.25">
      <c r="A355" s="1" t="s">
        <v>364</v>
      </c>
      <c r="B355" s="1" t="s">
        <v>680</v>
      </c>
      <c r="C355" s="2" t="s">
        <v>0</v>
      </c>
      <c r="D355" s="1" t="s">
        <v>700</v>
      </c>
      <c r="E355" s="2"/>
      <c r="F355" s="22"/>
      <c r="G355" s="4" t="s">
        <v>731</v>
      </c>
      <c r="H355" s="3"/>
      <c r="I355" s="3"/>
      <c r="J355" s="1" t="s">
        <v>639</v>
      </c>
      <c r="K355" s="2" t="s">
        <v>0</v>
      </c>
      <c r="L355" s="1" t="s">
        <v>738</v>
      </c>
      <c r="M355" s="2"/>
      <c r="N355" s="22"/>
      <c r="O355" s="1" t="s">
        <v>930</v>
      </c>
      <c r="P355" s="24" t="s">
        <v>690</v>
      </c>
    </row>
    <row r="356" spans="1:16" ht="24" customHeight="1" x14ac:dyDescent="0.25">
      <c r="A356" s="1" t="s">
        <v>365</v>
      </c>
      <c r="B356" s="1" t="s">
        <v>680</v>
      </c>
      <c r="C356" s="2" t="s">
        <v>0</v>
      </c>
      <c r="D356" s="1" t="s">
        <v>700</v>
      </c>
      <c r="E356" s="2"/>
      <c r="F356" s="22"/>
      <c r="G356" s="4" t="s">
        <v>731</v>
      </c>
      <c r="H356" s="3"/>
      <c r="I356" s="3"/>
      <c r="J356" s="1" t="s">
        <v>639</v>
      </c>
      <c r="K356" s="2" t="s">
        <v>0</v>
      </c>
      <c r="L356" s="1" t="s">
        <v>689</v>
      </c>
      <c r="M356" s="2" t="s">
        <v>0</v>
      </c>
      <c r="N356" s="22" t="s">
        <v>639</v>
      </c>
      <c r="O356" s="1" t="s">
        <v>931</v>
      </c>
      <c r="P356" s="24" t="s">
        <v>690</v>
      </c>
    </row>
    <row r="357" spans="1:16" ht="24" customHeight="1" x14ac:dyDescent="0.25">
      <c r="A357" s="1" t="s">
        <v>366</v>
      </c>
      <c r="B357" s="1" t="s">
        <v>680</v>
      </c>
      <c r="C357" s="2" t="s">
        <v>0</v>
      </c>
      <c r="D357" s="1" t="s">
        <v>828</v>
      </c>
      <c r="E357" s="2"/>
      <c r="F357" s="22"/>
      <c r="G357" s="4" t="s">
        <v>731</v>
      </c>
      <c r="H357" s="3"/>
      <c r="I357" s="3"/>
      <c r="J357" s="1" t="s">
        <v>649</v>
      </c>
      <c r="K357" s="2" t="s">
        <v>0</v>
      </c>
      <c r="L357" s="1" t="s">
        <v>738</v>
      </c>
      <c r="M357" s="2"/>
      <c r="N357" s="22"/>
      <c r="O357" s="1" t="s">
        <v>930</v>
      </c>
      <c r="P357" s="24" t="s">
        <v>690</v>
      </c>
    </row>
    <row r="358" spans="1:16" ht="24" customHeight="1" x14ac:dyDescent="0.25">
      <c r="A358" s="1" t="s">
        <v>367</v>
      </c>
      <c r="B358" s="1" t="s">
        <v>680</v>
      </c>
      <c r="C358" s="2" t="s">
        <v>0</v>
      </c>
      <c r="D358" s="1" t="s">
        <v>828</v>
      </c>
      <c r="E358" s="2"/>
      <c r="F358" s="22"/>
      <c r="G358" s="4" t="s">
        <v>731</v>
      </c>
      <c r="H358" s="3"/>
      <c r="I358" s="3"/>
      <c r="J358" s="1" t="s">
        <v>649</v>
      </c>
      <c r="K358" s="2" t="s">
        <v>0</v>
      </c>
      <c r="L358" s="1" t="s">
        <v>689</v>
      </c>
      <c r="M358" s="2" t="s">
        <v>0</v>
      </c>
      <c r="N358" s="22" t="s">
        <v>639</v>
      </c>
      <c r="O358" s="1" t="s">
        <v>931</v>
      </c>
      <c r="P358" s="24" t="s">
        <v>690</v>
      </c>
    </row>
    <row r="359" spans="1:16" ht="24" customHeight="1" x14ac:dyDescent="0.25">
      <c r="A359" s="1" t="s">
        <v>368</v>
      </c>
      <c r="B359" s="1" t="s">
        <v>680</v>
      </c>
      <c r="C359" s="2" t="s">
        <v>0</v>
      </c>
      <c r="D359" s="1" t="s">
        <v>829</v>
      </c>
      <c r="E359" s="2"/>
      <c r="F359" s="22"/>
      <c r="G359" s="4" t="s">
        <v>731</v>
      </c>
      <c r="H359" s="3"/>
      <c r="I359" s="3"/>
      <c r="J359" s="1" t="s">
        <v>723</v>
      </c>
      <c r="K359" s="2" t="s">
        <v>0</v>
      </c>
      <c r="L359" s="1" t="s">
        <v>738</v>
      </c>
      <c r="M359" s="2"/>
      <c r="N359" s="22"/>
      <c r="O359" s="1" t="s">
        <v>930</v>
      </c>
      <c r="P359" s="24" t="s">
        <v>756</v>
      </c>
    </row>
    <row r="360" spans="1:16" ht="24" customHeight="1" x14ac:dyDescent="0.25">
      <c r="A360" s="1" t="s">
        <v>369</v>
      </c>
      <c r="B360" s="1" t="s">
        <v>680</v>
      </c>
      <c r="C360" s="2" t="s">
        <v>0</v>
      </c>
      <c r="D360" s="1" t="s">
        <v>829</v>
      </c>
      <c r="E360" s="2"/>
      <c r="F360" s="22"/>
      <c r="G360" s="4" t="s">
        <v>731</v>
      </c>
      <c r="H360" s="3"/>
      <c r="I360" s="3"/>
      <c r="J360" s="1" t="s">
        <v>723</v>
      </c>
      <c r="K360" s="2" t="s">
        <v>0</v>
      </c>
      <c r="L360" s="1" t="s">
        <v>689</v>
      </c>
      <c r="M360" s="2" t="s">
        <v>0</v>
      </c>
      <c r="N360" s="22" t="s">
        <v>639</v>
      </c>
      <c r="O360" s="1" t="s">
        <v>931</v>
      </c>
      <c r="P360" s="24" t="s">
        <v>690</v>
      </c>
    </row>
    <row r="361" spans="1:16" ht="24" customHeight="1" x14ac:dyDescent="0.25">
      <c r="A361" s="1" t="s">
        <v>370</v>
      </c>
      <c r="B361" s="1" t="s">
        <v>680</v>
      </c>
      <c r="C361" s="2" t="s">
        <v>0</v>
      </c>
      <c r="D361" s="1" t="s">
        <v>830</v>
      </c>
      <c r="E361" s="2"/>
      <c r="F361" s="22"/>
      <c r="G361" s="4" t="s">
        <v>731</v>
      </c>
      <c r="H361" s="3"/>
      <c r="I361" s="3"/>
      <c r="J361" s="1" t="s">
        <v>649</v>
      </c>
      <c r="K361" s="2" t="s">
        <v>0</v>
      </c>
      <c r="L361" s="1" t="s">
        <v>649</v>
      </c>
      <c r="M361" s="2" t="s">
        <v>0</v>
      </c>
      <c r="N361" s="1" t="s">
        <v>738</v>
      </c>
      <c r="O361" s="1" t="s">
        <v>766</v>
      </c>
      <c r="P361" s="24" t="s">
        <v>690</v>
      </c>
    </row>
    <row r="362" spans="1:16" ht="24" customHeight="1" x14ac:dyDescent="0.25">
      <c r="A362" s="1" t="s">
        <v>371</v>
      </c>
      <c r="B362" s="1" t="s">
        <v>680</v>
      </c>
      <c r="C362" s="2" t="s">
        <v>0</v>
      </c>
      <c r="D362" s="1" t="s">
        <v>748</v>
      </c>
      <c r="E362" s="2"/>
      <c r="F362" s="22"/>
      <c r="G362" s="4" t="s">
        <v>731</v>
      </c>
      <c r="H362" s="3"/>
      <c r="I362" s="3"/>
      <c r="J362" s="1" t="s">
        <v>653</v>
      </c>
      <c r="K362" s="2" t="s">
        <v>0</v>
      </c>
      <c r="L362" s="1" t="s">
        <v>738</v>
      </c>
      <c r="M362" s="2"/>
      <c r="N362" s="22"/>
      <c r="O362" s="1" t="s">
        <v>930</v>
      </c>
      <c r="P362" s="24" t="s">
        <v>756</v>
      </c>
    </row>
    <row r="363" spans="1:16" ht="24" customHeight="1" x14ac:dyDescent="0.25">
      <c r="A363" s="1" t="s">
        <v>372</v>
      </c>
      <c r="B363" s="1" t="s">
        <v>680</v>
      </c>
      <c r="C363" s="2" t="s">
        <v>0</v>
      </c>
      <c r="D363" s="1" t="s">
        <v>748</v>
      </c>
      <c r="E363" s="2"/>
      <c r="F363" s="22"/>
      <c r="G363" s="4" t="s">
        <v>731</v>
      </c>
      <c r="H363" s="3"/>
      <c r="I363" s="3"/>
      <c r="J363" s="1" t="s">
        <v>653</v>
      </c>
      <c r="K363" s="2" t="s">
        <v>0</v>
      </c>
      <c r="L363" s="1" t="s">
        <v>689</v>
      </c>
      <c r="M363" s="2" t="s">
        <v>0</v>
      </c>
      <c r="N363" s="22" t="s">
        <v>639</v>
      </c>
      <c r="O363" s="1" t="s">
        <v>931</v>
      </c>
      <c r="P363" s="24" t="s">
        <v>690</v>
      </c>
    </row>
    <row r="364" spans="1:16" ht="24" customHeight="1" x14ac:dyDescent="0.25">
      <c r="A364" s="1" t="s">
        <v>373</v>
      </c>
      <c r="B364" s="1" t="s">
        <v>680</v>
      </c>
      <c r="C364" s="2" t="s">
        <v>0</v>
      </c>
      <c r="D364" s="1" t="s">
        <v>749</v>
      </c>
      <c r="E364" s="2"/>
      <c r="F364" s="22"/>
      <c r="G364" s="4" t="s">
        <v>731</v>
      </c>
      <c r="H364" s="3"/>
      <c r="I364" s="3"/>
      <c r="J364" s="1" t="s">
        <v>654</v>
      </c>
      <c r="K364" s="2" t="s">
        <v>0</v>
      </c>
      <c r="L364" s="1" t="s">
        <v>738</v>
      </c>
      <c r="M364" s="2"/>
      <c r="N364" s="22"/>
      <c r="O364" s="1" t="s">
        <v>930</v>
      </c>
      <c r="P364" s="24" t="s">
        <v>756</v>
      </c>
    </row>
    <row r="365" spans="1:16" ht="24" customHeight="1" x14ac:dyDescent="0.25">
      <c r="A365" s="1" t="s">
        <v>374</v>
      </c>
      <c r="B365" s="1" t="s">
        <v>680</v>
      </c>
      <c r="C365" s="2" t="s">
        <v>0</v>
      </c>
      <c r="D365" s="1" t="s">
        <v>749</v>
      </c>
      <c r="E365" s="2"/>
      <c r="F365" s="22"/>
      <c r="G365" s="4" t="s">
        <v>731</v>
      </c>
      <c r="H365" s="3"/>
      <c r="I365" s="3"/>
      <c r="J365" s="1" t="s">
        <v>654</v>
      </c>
      <c r="K365" s="2" t="s">
        <v>0</v>
      </c>
      <c r="L365" s="1" t="s">
        <v>689</v>
      </c>
      <c r="M365" s="2" t="s">
        <v>0</v>
      </c>
      <c r="N365" s="22" t="s">
        <v>639</v>
      </c>
      <c r="O365" s="1" t="s">
        <v>931</v>
      </c>
      <c r="P365" s="24" t="s">
        <v>690</v>
      </c>
    </row>
    <row r="366" spans="1:16" ht="24" customHeight="1" x14ac:dyDescent="0.25">
      <c r="A366" s="1" t="s">
        <v>375</v>
      </c>
      <c r="B366" s="1" t="s">
        <v>832</v>
      </c>
      <c r="C366" s="2" t="s">
        <v>0</v>
      </c>
      <c r="D366" s="1" t="s">
        <v>823</v>
      </c>
      <c r="E366" s="2"/>
      <c r="F366" s="22"/>
      <c r="G366" s="4" t="s">
        <v>731</v>
      </c>
      <c r="H366" s="3"/>
      <c r="I366" s="3"/>
      <c r="J366" s="1" t="s">
        <v>738</v>
      </c>
      <c r="K366" s="2" t="s">
        <v>0</v>
      </c>
      <c r="L366" s="1" t="s">
        <v>689</v>
      </c>
      <c r="M366" s="2" t="s">
        <v>0</v>
      </c>
      <c r="N366" s="22" t="s">
        <v>636</v>
      </c>
      <c r="O366" s="1" t="s">
        <v>931</v>
      </c>
      <c r="P366" s="24" t="s">
        <v>690</v>
      </c>
    </row>
    <row r="367" spans="1:16" ht="24" customHeight="1" x14ac:dyDescent="0.25">
      <c r="A367" s="1" t="s">
        <v>376</v>
      </c>
      <c r="B367" s="1" t="s">
        <v>832</v>
      </c>
      <c r="C367" s="2" t="s">
        <v>0</v>
      </c>
      <c r="D367" s="1" t="s">
        <v>824</v>
      </c>
      <c r="E367" s="2"/>
      <c r="F367" s="22"/>
      <c r="G367" s="4" t="s">
        <v>731</v>
      </c>
      <c r="H367" s="3"/>
      <c r="I367" s="3"/>
      <c r="J367" s="1" t="s">
        <v>688</v>
      </c>
      <c r="K367" s="2" t="s">
        <v>0</v>
      </c>
      <c r="L367" s="1" t="s">
        <v>689</v>
      </c>
      <c r="M367" s="2" t="s">
        <v>0</v>
      </c>
      <c r="N367" s="22" t="s">
        <v>636</v>
      </c>
      <c r="O367" s="1" t="s">
        <v>931</v>
      </c>
      <c r="P367" s="24" t="s">
        <v>690</v>
      </c>
    </row>
    <row r="368" spans="1:16" ht="24" customHeight="1" x14ac:dyDescent="0.25">
      <c r="A368" s="1" t="s">
        <v>377</v>
      </c>
      <c r="B368" s="1" t="s">
        <v>832</v>
      </c>
      <c r="C368" s="2" t="s">
        <v>0</v>
      </c>
      <c r="D368" s="1" t="s">
        <v>826</v>
      </c>
      <c r="E368" s="2"/>
      <c r="F368" s="22"/>
      <c r="G368" s="4" t="s">
        <v>731</v>
      </c>
      <c r="H368" s="3"/>
      <c r="I368" s="3"/>
      <c r="J368" s="1" t="s">
        <v>739</v>
      </c>
      <c r="K368" s="2" t="s">
        <v>0</v>
      </c>
      <c r="L368" s="1" t="s">
        <v>689</v>
      </c>
      <c r="M368" s="2" t="s">
        <v>0</v>
      </c>
      <c r="N368" s="22" t="s">
        <v>636</v>
      </c>
      <c r="O368" s="1" t="s">
        <v>931</v>
      </c>
      <c r="P368" s="24" t="s">
        <v>690</v>
      </c>
    </row>
    <row r="369" spans="1:16" ht="24" customHeight="1" x14ac:dyDescent="0.25">
      <c r="A369" s="1" t="s">
        <v>378</v>
      </c>
      <c r="B369" s="1" t="s">
        <v>832</v>
      </c>
      <c r="C369" s="2" t="s">
        <v>0</v>
      </c>
      <c r="D369" s="1" t="s">
        <v>827</v>
      </c>
      <c r="E369" s="2"/>
      <c r="F369" s="22"/>
      <c r="G369" s="4" t="s">
        <v>731</v>
      </c>
      <c r="H369" s="3"/>
      <c r="I369" s="3"/>
      <c r="J369" s="1" t="s">
        <v>740</v>
      </c>
      <c r="K369" s="2" t="s">
        <v>0</v>
      </c>
      <c r="L369" s="1" t="s">
        <v>689</v>
      </c>
      <c r="M369" s="2" t="s">
        <v>0</v>
      </c>
      <c r="N369" s="22" t="s">
        <v>636</v>
      </c>
      <c r="O369" s="1" t="s">
        <v>931</v>
      </c>
      <c r="P369" s="24" t="s">
        <v>690</v>
      </c>
    </row>
    <row r="370" spans="1:16" ht="24" customHeight="1" x14ac:dyDescent="0.25">
      <c r="A370" s="1" t="s">
        <v>379</v>
      </c>
      <c r="B370" s="1" t="s">
        <v>832</v>
      </c>
      <c r="C370" s="2" t="s">
        <v>0</v>
      </c>
      <c r="D370" s="1" t="s">
        <v>700</v>
      </c>
      <c r="E370" s="2"/>
      <c r="F370" s="22"/>
      <c r="G370" s="4" t="s">
        <v>731</v>
      </c>
      <c r="H370" s="3"/>
      <c r="I370" s="3"/>
      <c r="J370" s="1" t="s">
        <v>639</v>
      </c>
      <c r="K370" s="2" t="s">
        <v>0</v>
      </c>
      <c r="L370" s="1" t="s">
        <v>689</v>
      </c>
      <c r="M370" s="2" t="s">
        <v>0</v>
      </c>
      <c r="N370" s="22" t="s">
        <v>636</v>
      </c>
      <c r="O370" s="1" t="s">
        <v>931</v>
      </c>
      <c r="P370" s="24" t="s">
        <v>690</v>
      </c>
    </row>
    <row r="371" spans="1:16" ht="24" customHeight="1" x14ac:dyDescent="0.25">
      <c r="A371" s="1" t="s">
        <v>380</v>
      </c>
      <c r="B371" s="1" t="s">
        <v>832</v>
      </c>
      <c r="C371" s="2" t="s">
        <v>0</v>
      </c>
      <c r="D371" s="1" t="s">
        <v>828</v>
      </c>
      <c r="E371" s="2"/>
      <c r="F371" s="22"/>
      <c r="G371" s="4" t="s">
        <v>731</v>
      </c>
      <c r="H371" s="3"/>
      <c r="I371" s="3"/>
      <c r="J371" s="1" t="s">
        <v>649</v>
      </c>
      <c r="K371" s="2" t="s">
        <v>0</v>
      </c>
      <c r="L371" s="1" t="s">
        <v>689</v>
      </c>
      <c r="M371" s="2" t="s">
        <v>0</v>
      </c>
      <c r="N371" s="22" t="s">
        <v>636</v>
      </c>
      <c r="O371" s="1" t="s">
        <v>931</v>
      </c>
      <c r="P371" s="24" t="s">
        <v>690</v>
      </c>
    </row>
    <row r="372" spans="1:16" ht="24" customHeight="1" x14ac:dyDescent="0.25">
      <c r="A372" s="1" t="s">
        <v>381</v>
      </c>
      <c r="B372" s="1" t="s">
        <v>832</v>
      </c>
      <c r="C372" s="2" t="s">
        <v>0</v>
      </c>
      <c r="D372" s="1" t="s">
        <v>829</v>
      </c>
      <c r="E372" s="2"/>
      <c r="F372" s="22"/>
      <c r="G372" s="4" t="s">
        <v>731</v>
      </c>
      <c r="H372" s="3"/>
      <c r="I372" s="3"/>
      <c r="J372" s="1" t="s">
        <v>723</v>
      </c>
      <c r="K372" s="2" t="s">
        <v>0</v>
      </c>
      <c r="L372" s="1" t="s">
        <v>689</v>
      </c>
      <c r="M372" s="2" t="s">
        <v>0</v>
      </c>
      <c r="N372" s="22" t="s">
        <v>636</v>
      </c>
      <c r="O372" s="1" t="s">
        <v>931</v>
      </c>
      <c r="P372" s="24" t="s">
        <v>690</v>
      </c>
    </row>
    <row r="373" spans="1:16" ht="24" customHeight="1" x14ac:dyDescent="0.25">
      <c r="A373" s="1" t="s">
        <v>382</v>
      </c>
      <c r="B373" s="1" t="s">
        <v>832</v>
      </c>
      <c r="C373" s="2" t="s">
        <v>0</v>
      </c>
      <c r="D373" s="1" t="s">
        <v>830</v>
      </c>
      <c r="E373" s="2"/>
      <c r="F373" s="22"/>
      <c r="G373" s="4" t="s">
        <v>731</v>
      </c>
      <c r="H373" s="1" t="s">
        <v>649</v>
      </c>
      <c r="I373" s="3" t="s">
        <v>0</v>
      </c>
      <c r="J373" s="1" t="s">
        <v>649</v>
      </c>
      <c r="K373" s="2" t="s">
        <v>0</v>
      </c>
      <c r="L373" s="1" t="s">
        <v>689</v>
      </c>
      <c r="M373" s="2" t="s">
        <v>0</v>
      </c>
      <c r="N373" s="22" t="s">
        <v>636</v>
      </c>
      <c r="O373" s="1" t="s">
        <v>931</v>
      </c>
      <c r="P373" s="24" t="s">
        <v>690</v>
      </c>
    </row>
    <row r="374" spans="1:16" ht="24" customHeight="1" x14ac:dyDescent="0.25">
      <c r="A374" s="1" t="s">
        <v>383</v>
      </c>
      <c r="B374" s="1" t="s">
        <v>832</v>
      </c>
      <c r="C374" s="2" t="s">
        <v>0</v>
      </c>
      <c r="D374" s="1" t="s">
        <v>748</v>
      </c>
      <c r="E374" s="2"/>
      <c r="F374" s="22"/>
      <c r="G374" s="4" t="s">
        <v>731</v>
      </c>
      <c r="H374" s="3"/>
      <c r="I374" s="3"/>
      <c r="J374" s="1" t="s">
        <v>653</v>
      </c>
      <c r="K374" s="2" t="s">
        <v>0</v>
      </c>
      <c r="L374" s="1" t="s">
        <v>689</v>
      </c>
      <c r="M374" s="2" t="s">
        <v>0</v>
      </c>
      <c r="N374" s="22" t="s">
        <v>636</v>
      </c>
      <c r="O374" s="1" t="s">
        <v>931</v>
      </c>
      <c r="P374" s="24" t="s">
        <v>703</v>
      </c>
    </row>
    <row r="375" spans="1:16" ht="24" customHeight="1" x14ac:dyDescent="0.25">
      <c r="A375" s="1" t="s">
        <v>384</v>
      </c>
      <c r="B375" s="1" t="s">
        <v>832</v>
      </c>
      <c r="C375" s="2" t="s">
        <v>0</v>
      </c>
      <c r="D375" s="1" t="s">
        <v>749</v>
      </c>
      <c r="E375" s="2"/>
      <c r="F375" s="22"/>
      <c r="G375" s="4" t="s">
        <v>731</v>
      </c>
      <c r="H375" s="3"/>
      <c r="I375" s="3"/>
      <c r="J375" s="1" t="s">
        <v>654</v>
      </c>
      <c r="K375" s="2" t="s">
        <v>0</v>
      </c>
      <c r="L375" s="1" t="s">
        <v>689</v>
      </c>
      <c r="M375" s="2" t="s">
        <v>0</v>
      </c>
      <c r="N375" s="22" t="s">
        <v>636</v>
      </c>
      <c r="O375" s="1" t="s">
        <v>931</v>
      </c>
      <c r="P375" s="24" t="s">
        <v>703</v>
      </c>
    </row>
    <row r="376" spans="1:16" ht="24" customHeight="1" x14ac:dyDescent="0.25">
      <c r="A376" s="1" t="s">
        <v>385</v>
      </c>
      <c r="B376" s="1" t="s">
        <v>833</v>
      </c>
      <c r="C376" s="2" t="s">
        <v>0</v>
      </c>
      <c r="D376" s="1" t="s">
        <v>823</v>
      </c>
      <c r="E376" s="2"/>
      <c r="F376" s="22"/>
      <c r="G376" s="4" t="s">
        <v>731</v>
      </c>
      <c r="H376" s="3"/>
      <c r="I376" s="3"/>
      <c r="J376" s="1" t="s">
        <v>738</v>
      </c>
      <c r="K376" s="2" t="s">
        <v>0</v>
      </c>
      <c r="L376" s="1" t="s">
        <v>689</v>
      </c>
      <c r="M376" s="2" t="s">
        <v>0</v>
      </c>
      <c r="N376" s="1" t="s">
        <v>689</v>
      </c>
      <c r="O376" s="1" t="s">
        <v>931</v>
      </c>
      <c r="P376" s="24" t="s">
        <v>690</v>
      </c>
    </row>
    <row r="377" spans="1:16" ht="24" customHeight="1" x14ac:dyDescent="0.25">
      <c r="A377" s="1" t="s">
        <v>386</v>
      </c>
      <c r="B377" s="1" t="s">
        <v>833</v>
      </c>
      <c r="C377" s="2" t="s">
        <v>0</v>
      </c>
      <c r="D377" s="1" t="s">
        <v>824</v>
      </c>
      <c r="E377" s="2"/>
      <c r="F377" s="22"/>
      <c r="G377" s="4" t="s">
        <v>731</v>
      </c>
      <c r="H377" s="3"/>
      <c r="I377" s="3"/>
      <c r="J377" s="1" t="s">
        <v>688</v>
      </c>
      <c r="K377" s="2" t="s">
        <v>0</v>
      </c>
      <c r="L377" s="1" t="s">
        <v>689</v>
      </c>
      <c r="M377" s="2" t="s">
        <v>0</v>
      </c>
      <c r="N377" s="1" t="s">
        <v>689</v>
      </c>
      <c r="O377" s="1" t="s">
        <v>931</v>
      </c>
      <c r="P377" s="24" t="s">
        <v>690</v>
      </c>
    </row>
    <row r="378" spans="1:16" ht="24" customHeight="1" x14ac:dyDescent="0.25">
      <c r="A378" s="1" t="s">
        <v>387</v>
      </c>
      <c r="B378" s="1" t="s">
        <v>833</v>
      </c>
      <c r="C378" s="2" t="s">
        <v>0</v>
      </c>
      <c r="D378" s="1" t="s">
        <v>826</v>
      </c>
      <c r="E378" s="2"/>
      <c r="F378" s="22"/>
      <c r="G378" s="4" t="s">
        <v>731</v>
      </c>
      <c r="H378" s="3"/>
      <c r="I378" s="3"/>
      <c r="J378" s="1" t="s">
        <v>739</v>
      </c>
      <c r="K378" s="2" t="s">
        <v>0</v>
      </c>
      <c r="L378" s="1" t="s">
        <v>689</v>
      </c>
      <c r="M378" s="2" t="s">
        <v>0</v>
      </c>
      <c r="N378" s="1" t="s">
        <v>689</v>
      </c>
      <c r="O378" s="1" t="s">
        <v>931</v>
      </c>
      <c r="P378" s="24" t="s">
        <v>690</v>
      </c>
    </row>
    <row r="379" spans="1:16" ht="24" customHeight="1" x14ac:dyDescent="0.25">
      <c r="A379" s="1" t="s">
        <v>388</v>
      </c>
      <c r="B379" s="1" t="s">
        <v>833</v>
      </c>
      <c r="C379" s="2" t="s">
        <v>0</v>
      </c>
      <c r="D379" s="1" t="s">
        <v>827</v>
      </c>
      <c r="E379" s="2"/>
      <c r="F379" s="22"/>
      <c r="G379" s="4" t="s">
        <v>731</v>
      </c>
      <c r="H379" s="3"/>
      <c r="I379" s="3"/>
      <c r="J379" s="1" t="s">
        <v>740</v>
      </c>
      <c r="K379" s="2" t="s">
        <v>0</v>
      </c>
      <c r="L379" s="1" t="s">
        <v>689</v>
      </c>
      <c r="M379" s="2" t="s">
        <v>0</v>
      </c>
      <c r="N379" s="1" t="s">
        <v>689</v>
      </c>
      <c r="O379" s="1" t="s">
        <v>931</v>
      </c>
      <c r="P379" s="24" t="s">
        <v>690</v>
      </c>
    </row>
    <row r="380" spans="1:16" ht="24" customHeight="1" x14ac:dyDescent="0.25">
      <c r="A380" s="1" t="s">
        <v>389</v>
      </c>
      <c r="B380" s="1" t="s">
        <v>833</v>
      </c>
      <c r="C380" s="2" t="s">
        <v>0</v>
      </c>
      <c r="D380" s="1" t="s">
        <v>700</v>
      </c>
      <c r="E380" s="2"/>
      <c r="F380" s="22"/>
      <c r="G380" s="4" t="s">
        <v>731</v>
      </c>
      <c r="H380" s="3"/>
      <c r="I380" s="3"/>
      <c r="J380" s="1" t="s">
        <v>639</v>
      </c>
      <c r="K380" s="2" t="s">
        <v>0</v>
      </c>
      <c r="L380" s="1" t="s">
        <v>689</v>
      </c>
      <c r="M380" s="2" t="s">
        <v>0</v>
      </c>
      <c r="N380" s="1" t="s">
        <v>689</v>
      </c>
      <c r="O380" s="1" t="s">
        <v>931</v>
      </c>
      <c r="P380" s="24" t="s">
        <v>690</v>
      </c>
    </row>
    <row r="381" spans="1:16" ht="24" customHeight="1" x14ac:dyDescent="0.25">
      <c r="A381" s="1" t="s">
        <v>390</v>
      </c>
      <c r="B381" s="1" t="s">
        <v>833</v>
      </c>
      <c r="C381" s="2" t="s">
        <v>0</v>
      </c>
      <c r="D381" s="1" t="s">
        <v>828</v>
      </c>
      <c r="E381" s="2"/>
      <c r="F381" s="22"/>
      <c r="G381" s="4" t="s">
        <v>731</v>
      </c>
      <c r="H381" s="3"/>
      <c r="I381" s="3"/>
      <c r="J381" s="1" t="s">
        <v>649</v>
      </c>
      <c r="K381" s="2" t="s">
        <v>0</v>
      </c>
      <c r="L381" s="1" t="s">
        <v>689</v>
      </c>
      <c r="M381" s="2" t="s">
        <v>0</v>
      </c>
      <c r="N381" s="1" t="s">
        <v>689</v>
      </c>
      <c r="O381" s="1" t="s">
        <v>931</v>
      </c>
      <c r="P381" s="24" t="s">
        <v>756</v>
      </c>
    </row>
    <row r="382" spans="1:16" ht="24" customHeight="1" x14ac:dyDescent="0.25">
      <c r="A382" s="1" t="s">
        <v>391</v>
      </c>
      <c r="B382" s="1" t="s">
        <v>833</v>
      </c>
      <c r="C382" s="2" t="s">
        <v>0</v>
      </c>
      <c r="D382" s="1" t="s">
        <v>829</v>
      </c>
      <c r="E382" s="2"/>
      <c r="F382" s="22"/>
      <c r="G382" s="4" t="s">
        <v>731</v>
      </c>
      <c r="H382" s="3"/>
      <c r="I382" s="3"/>
      <c r="J382" s="1" t="s">
        <v>723</v>
      </c>
      <c r="K382" s="2" t="s">
        <v>0</v>
      </c>
      <c r="L382" s="1" t="s">
        <v>689</v>
      </c>
      <c r="M382" s="2" t="s">
        <v>0</v>
      </c>
      <c r="N382" s="1" t="s">
        <v>689</v>
      </c>
      <c r="O382" s="1" t="s">
        <v>931</v>
      </c>
      <c r="P382" s="24" t="s">
        <v>690</v>
      </c>
    </row>
    <row r="383" spans="1:16" ht="24" customHeight="1" x14ac:dyDescent="0.25">
      <c r="A383" s="1" t="s">
        <v>392</v>
      </c>
      <c r="B383" s="1" t="s">
        <v>833</v>
      </c>
      <c r="C383" s="2" t="s">
        <v>0</v>
      </c>
      <c r="D383" s="1" t="s">
        <v>830</v>
      </c>
      <c r="E383" s="2"/>
      <c r="F383" s="22"/>
      <c r="G383" s="4" t="s">
        <v>731</v>
      </c>
      <c r="H383" s="1" t="s">
        <v>649</v>
      </c>
      <c r="I383" s="3" t="s">
        <v>0</v>
      </c>
      <c r="J383" s="1" t="s">
        <v>649</v>
      </c>
      <c r="K383" s="2" t="s">
        <v>0</v>
      </c>
      <c r="L383" s="1" t="s">
        <v>689</v>
      </c>
      <c r="M383" s="2" t="s">
        <v>0</v>
      </c>
      <c r="N383" s="1" t="s">
        <v>689</v>
      </c>
      <c r="O383" s="1" t="s">
        <v>931</v>
      </c>
      <c r="P383" s="24" t="s">
        <v>690</v>
      </c>
    </row>
    <row r="384" spans="1:16" ht="24" customHeight="1" x14ac:dyDescent="0.25">
      <c r="A384" s="1" t="s">
        <v>393</v>
      </c>
      <c r="B384" s="1" t="s">
        <v>833</v>
      </c>
      <c r="C384" s="2" t="s">
        <v>0</v>
      </c>
      <c r="D384" s="1" t="s">
        <v>748</v>
      </c>
      <c r="E384" s="2"/>
      <c r="F384" s="22"/>
      <c r="G384" s="4" t="s">
        <v>731</v>
      </c>
      <c r="H384" s="3"/>
      <c r="I384" s="3"/>
      <c r="J384" s="1" t="s">
        <v>653</v>
      </c>
      <c r="K384" s="2" t="s">
        <v>0</v>
      </c>
      <c r="L384" s="1" t="s">
        <v>689</v>
      </c>
      <c r="M384" s="2" t="s">
        <v>0</v>
      </c>
      <c r="N384" s="1" t="s">
        <v>689</v>
      </c>
      <c r="O384" s="1" t="s">
        <v>931</v>
      </c>
      <c r="P384" s="24" t="s">
        <v>703</v>
      </c>
    </row>
    <row r="385" spans="1:16" ht="24" customHeight="1" x14ac:dyDescent="0.25">
      <c r="A385" s="1" t="s">
        <v>394</v>
      </c>
      <c r="B385" s="1" t="s">
        <v>833</v>
      </c>
      <c r="C385" s="2" t="s">
        <v>0</v>
      </c>
      <c r="D385" s="1" t="s">
        <v>749</v>
      </c>
      <c r="E385" s="2"/>
      <c r="F385" s="22"/>
      <c r="G385" s="4" t="s">
        <v>731</v>
      </c>
      <c r="H385" s="3"/>
      <c r="I385" s="3"/>
      <c r="J385" s="1" t="s">
        <v>654</v>
      </c>
      <c r="K385" s="2" t="s">
        <v>0</v>
      </c>
      <c r="L385" s="1" t="s">
        <v>689</v>
      </c>
      <c r="M385" s="2" t="s">
        <v>0</v>
      </c>
      <c r="N385" s="1" t="s">
        <v>689</v>
      </c>
      <c r="O385" s="1" t="s">
        <v>931</v>
      </c>
      <c r="P385" s="24" t="s">
        <v>703</v>
      </c>
    </row>
    <row r="386" spans="1:16" ht="24" customHeight="1" x14ac:dyDescent="0.25">
      <c r="A386" s="1" t="s">
        <v>395</v>
      </c>
      <c r="B386" s="1" t="s">
        <v>698</v>
      </c>
      <c r="C386" s="2" t="s">
        <v>0</v>
      </c>
      <c r="D386" s="1" t="s">
        <v>823</v>
      </c>
      <c r="E386" s="2"/>
      <c r="F386" s="22"/>
      <c r="G386" s="4" t="s">
        <v>731</v>
      </c>
      <c r="H386" s="3"/>
      <c r="I386" s="3"/>
      <c r="J386" s="1" t="s">
        <v>738</v>
      </c>
      <c r="K386" s="2" t="s">
        <v>0</v>
      </c>
      <c r="L386" s="22" t="s">
        <v>688</v>
      </c>
      <c r="M386" s="2"/>
      <c r="N386" s="22"/>
      <c r="O386" s="1" t="s">
        <v>930</v>
      </c>
      <c r="P386" s="24" t="s">
        <v>690</v>
      </c>
    </row>
    <row r="387" spans="1:16" ht="24" customHeight="1" x14ac:dyDescent="0.25">
      <c r="A387" s="1" t="s">
        <v>396</v>
      </c>
      <c r="B387" s="1" t="s">
        <v>698</v>
      </c>
      <c r="C387" s="2" t="s">
        <v>0</v>
      </c>
      <c r="D387" s="1" t="s">
        <v>823</v>
      </c>
      <c r="E387" s="2"/>
      <c r="F387" s="22"/>
      <c r="G387" s="4" t="s">
        <v>731</v>
      </c>
      <c r="H387" s="3"/>
      <c r="I387" s="3"/>
      <c r="J387" s="1" t="s">
        <v>738</v>
      </c>
      <c r="K387" s="2" t="s">
        <v>0</v>
      </c>
      <c r="L387" s="22" t="s">
        <v>636</v>
      </c>
      <c r="M387" s="2" t="s">
        <v>0</v>
      </c>
      <c r="N387" s="22" t="s">
        <v>639</v>
      </c>
      <c r="O387" s="1" t="s">
        <v>931</v>
      </c>
      <c r="P387" s="24" t="s">
        <v>690</v>
      </c>
    </row>
    <row r="388" spans="1:16" ht="24" customHeight="1" x14ac:dyDescent="0.25">
      <c r="A388" s="1" t="s">
        <v>397</v>
      </c>
      <c r="B388" s="1" t="s">
        <v>698</v>
      </c>
      <c r="C388" s="2" t="s">
        <v>0</v>
      </c>
      <c r="D388" s="1" t="s">
        <v>824</v>
      </c>
      <c r="E388" s="2"/>
      <c r="F388" s="22"/>
      <c r="G388" s="4" t="s">
        <v>731</v>
      </c>
      <c r="H388" s="3"/>
      <c r="I388" s="3"/>
      <c r="J388" s="1" t="s">
        <v>688</v>
      </c>
      <c r="K388" s="2" t="s">
        <v>0</v>
      </c>
      <c r="L388" s="22" t="s">
        <v>688</v>
      </c>
      <c r="M388" s="2"/>
      <c r="N388" s="22"/>
      <c r="O388" s="1" t="s">
        <v>930</v>
      </c>
      <c r="P388" s="24" t="s">
        <v>690</v>
      </c>
    </row>
    <row r="389" spans="1:16" ht="24" customHeight="1" x14ac:dyDescent="0.25">
      <c r="A389" s="1" t="s">
        <v>398</v>
      </c>
      <c r="B389" s="1" t="s">
        <v>698</v>
      </c>
      <c r="C389" s="2" t="s">
        <v>0</v>
      </c>
      <c r="D389" s="1" t="s">
        <v>824</v>
      </c>
      <c r="E389" s="2"/>
      <c r="F389" s="22"/>
      <c r="G389" s="4" t="s">
        <v>731</v>
      </c>
      <c r="H389" s="3"/>
      <c r="I389" s="3"/>
      <c r="J389" s="1" t="s">
        <v>688</v>
      </c>
      <c r="K389" s="2" t="s">
        <v>0</v>
      </c>
      <c r="L389" s="22" t="s">
        <v>636</v>
      </c>
      <c r="M389" s="2" t="s">
        <v>0</v>
      </c>
      <c r="N389" s="22" t="s">
        <v>639</v>
      </c>
      <c r="O389" s="1" t="s">
        <v>931</v>
      </c>
      <c r="P389" s="24" t="s">
        <v>690</v>
      </c>
    </row>
    <row r="390" spans="1:16" ht="24" customHeight="1" x14ac:dyDescent="0.25">
      <c r="A390" s="1" t="s">
        <v>399</v>
      </c>
      <c r="B390" s="1" t="s">
        <v>698</v>
      </c>
      <c r="C390" s="2" t="s">
        <v>0</v>
      </c>
      <c r="D390" s="1" t="s">
        <v>826</v>
      </c>
      <c r="E390" s="2"/>
      <c r="F390" s="22"/>
      <c r="G390" s="4" t="s">
        <v>731</v>
      </c>
      <c r="H390" s="3"/>
      <c r="I390" s="3"/>
      <c r="J390" s="1" t="s">
        <v>739</v>
      </c>
      <c r="K390" s="2" t="s">
        <v>0</v>
      </c>
      <c r="L390" s="22" t="s">
        <v>688</v>
      </c>
      <c r="M390" s="2"/>
      <c r="N390" s="22"/>
      <c r="O390" s="1" t="s">
        <v>930</v>
      </c>
      <c r="P390" s="24" t="s">
        <v>756</v>
      </c>
    </row>
    <row r="391" spans="1:16" ht="24" customHeight="1" x14ac:dyDescent="0.25">
      <c r="A391" s="1" t="s">
        <v>400</v>
      </c>
      <c r="B391" s="1" t="s">
        <v>698</v>
      </c>
      <c r="C391" s="2" t="s">
        <v>0</v>
      </c>
      <c r="D391" s="1" t="s">
        <v>826</v>
      </c>
      <c r="E391" s="2"/>
      <c r="F391" s="22"/>
      <c r="G391" s="4" t="s">
        <v>731</v>
      </c>
      <c r="H391" s="3"/>
      <c r="I391" s="3"/>
      <c r="J391" s="1" t="s">
        <v>739</v>
      </c>
      <c r="K391" s="2" t="s">
        <v>0</v>
      </c>
      <c r="L391" s="22" t="s">
        <v>636</v>
      </c>
      <c r="M391" s="2" t="s">
        <v>0</v>
      </c>
      <c r="N391" s="22" t="s">
        <v>639</v>
      </c>
      <c r="O391" s="1" t="s">
        <v>931</v>
      </c>
      <c r="P391" s="24" t="s">
        <v>690</v>
      </c>
    </row>
    <row r="392" spans="1:16" ht="24" customHeight="1" x14ac:dyDescent="0.25">
      <c r="A392" s="1" t="s">
        <v>401</v>
      </c>
      <c r="B392" s="1" t="s">
        <v>698</v>
      </c>
      <c r="C392" s="2" t="s">
        <v>0</v>
      </c>
      <c r="D392" s="1" t="s">
        <v>827</v>
      </c>
      <c r="E392" s="2"/>
      <c r="F392" s="22"/>
      <c r="G392" s="4" t="s">
        <v>731</v>
      </c>
      <c r="H392" s="3"/>
      <c r="I392" s="3"/>
      <c r="J392" s="1" t="s">
        <v>740</v>
      </c>
      <c r="K392" s="2" t="s">
        <v>0</v>
      </c>
      <c r="L392" s="22" t="s">
        <v>688</v>
      </c>
      <c r="M392" s="2"/>
      <c r="N392" s="22"/>
      <c r="O392" s="1" t="s">
        <v>930</v>
      </c>
      <c r="P392" s="24" t="s">
        <v>690</v>
      </c>
    </row>
    <row r="393" spans="1:16" ht="24" customHeight="1" x14ac:dyDescent="0.25">
      <c r="A393" s="1" t="s">
        <v>402</v>
      </c>
      <c r="B393" s="1" t="s">
        <v>698</v>
      </c>
      <c r="C393" s="2" t="s">
        <v>0</v>
      </c>
      <c r="D393" s="1" t="s">
        <v>827</v>
      </c>
      <c r="E393" s="2"/>
      <c r="F393" s="22"/>
      <c r="G393" s="4" t="s">
        <v>731</v>
      </c>
      <c r="H393" s="3"/>
      <c r="I393" s="3"/>
      <c r="J393" s="1" t="s">
        <v>740</v>
      </c>
      <c r="K393" s="2" t="s">
        <v>0</v>
      </c>
      <c r="L393" s="22" t="s">
        <v>636</v>
      </c>
      <c r="M393" s="2" t="s">
        <v>0</v>
      </c>
      <c r="N393" s="22" t="s">
        <v>639</v>
      </c>
      <c r="O393" s="1" t="s">
        <v>931</v>
      </c>
      <c r="P393" s="24" t="s">
        <v>690</v>
      </c>
    </row>
    <row r="394" spans="1:16" ht="24" customHeight="1" x14ac:dyDescent="0.25">
      <c r="A394" s="1" t="s">
        <v>403</v>
      </c>
      <c r="B394" s="1" t="s">
        <v>698</v>
      </c>
      <c r="C394" s="2" t="s">
        <v>0</v>
      </c>
      <c r="D394" s="1" t="s">
        <v>700</v>
      </c>
      <c r="E394" s="2"/>
      <c r="F394" s="22"/>
      <c r="G394" s="4" t="s">
        <v>731</v>
      </c>
      <c r="H394" s="3"/>
      <c r="I394" s="3"/>
      <c r="J394" s="1" t="s">
        <v>639</v>
      </c>
      <c r="K394" s="2" t="s">
        <v>0</v>
      </c>
      <c r="L394" s="22" t="s">
        <v>636</v>
      </c>
      <c r="M394" s="2" t="s">
        <v>0</v>
      </c>
      <c r="N394" s="22" t="s">
        <v>639</v>
      </c>
      <c r="O394" s="1" t="s">
        <v>931</v>
      </c>
      <c r="P394" s="24" t="s">
        <v>690</v>
      </c>
    </row>
    <row r="395" spans="1:16" ht="24" customHeight="1" x14ac:dyDescent="0.25">
      <c r="A395" s="1" t="s">
        <v>404</v>
      </c>
      <c r="B395" s="1" t="s">
        <v>698</v>
      </c>
      <c r="C395" s="2" t="s">
        <v>0</v>
      </c>
      <c r="D395" s="1" t="s">
        <v>700</v>
      </c>
      <c r="E395" s="2"/>
      <c r="F395" s="22"/>
      <c r="G395" s="4" t="s">
        <v>731</v>
      </c>
      <c r="H395" s="3"/>
      <c r="I395" s="3"/>
      <c r="J395" s="1" t="s">
        <v>639</v>
      </c>
      <c r="K395" s="2" t="s">
        <v>0</v>
      </c>
      <c r="L395" s="22" t="s">
        <v>688</v>
      </c>
      <c r="M395" s="2"/>
      <c r="N395" s="22"/>
      <c r="O395" s="1" t="s">
        <v>930</v>
      </c>
      <c r="P395" s="24" t="s">
        <v>756</v>
      </c>
    </row>
    <row r="396" spans="1:16" ht="24" customHeight="1" x14ac:dyDescent="0.25">
      <c r="A396" s="1" t="s">
        <v>405</v>
      </c>
      <c r="B396" s="1" t="s">
        <v>698</v>
      </c>
      <c r="C396" s="2" t="s">
        <v>0</v>
      </c>
      <c r="D396" s="1" t="s">
        <v>828</v>
      </c>
      <c r="E396" s="2"/>
      <c r="F396" s="22"/>
      <c r="G396" s="4" t="s">
        <v>731</v>
      </c>
      <c r="H396" s="3"/>
      <c r="I396" s="3"/>
      <c r="J396" s="1" t="s">
        <v>649</v>
      </c>
      <c r="K396" s="2" t="s">
        <v>0</v>
      </c>
      <c r="L396" s="22" t="s">
        <v>636</v>
      </c>
      <c r="M396" s="2" t="s">
        <v>0</v>
      </c>
      <c r="N396" s="22" t="s">
        <v>639</v>
      </c>
      <c r="O396" s="1" t="s">
        <v>931</v>
      </c>
      <c r="P396" s="24" t="s">
        <v>691</v>
      </c>
    </row>
    <row r="397" spans="1:16" ht="24" customHeight="1" x14ac:dyDescent="0.25">
      <c r="A397" s="1" t="s">
        <v>406</v>
      </c>
      <c r="B397" s="1" t="s">
        <v>698</v>
      </c>
      <c r="C397" s="2" t="s">
        <v>0</v>
      </c>
      <c r="D397" s="1" t="s">
        <v>828</v>
      </c>
      <c r="E397" s="2"/>
      <c r="F397" s="22"/>
      <c r="G397" s="4" t="s">
        <v>731</v>
      </c>
      <c r="H397" s="3"/>
      <c r="I397" s="3"/>
      <c r="J397" s="1" t="s">
        <v>649</v>
      </c>
      <c r="K397" s="2" t="s">
        <v>0</v>
      </c>
      <c r="L397" s="22" t="s">
        <v>688</v>
      </c>
      <c r="M397" s="2"/>
      <c r="N397" s="22"/>
      <c r="O397" s="1" t="s">
        <v>930</v>
      </c>
      <c r="P397" s="24" t="s">
        <v>691</v>
      </c>
    </row>
    <row r="398" spans="1:16" ht="24" customHeight="1" x14ac:dyDescent="0.25">
      <c r="A398" s="1" t="s">
        <v>407</v>
      </c>
      <c r="B398" s="1" t="s">
        <v>698</v>
      </c>
      <c r="C398" s="2" t="s">
        <v>0</v>
      </c>
      <c r="D398" s="1" t="s">
        <v>829</v>
      </c>
      <c r="E398" s="2"/>
      <c r="F398" s="22"/>
      <c r="G398" s="4" t="s">
        <v>731</v>
      </c>
      <c r="H398" s="3"/>
      <c r="I398" s="3"/>
      <c r="J398" s="1" t="s">
        <v>723</v>
      </c>
      <c r="K398" s="2" t="s">
        <v>0</v>
      </c>
      <c r="L398" s="22" t="s">
        <v>636</v>
      </c>
      <c r="M398" s="2" t="s">
        <v>0</v>
      </c>
      <c r="N398" s="22" t="s">
        <v>639</v>
      </c>
      <c r="O398" s="1" t="s">
        <v>931</v>
      </c>
      <c r="P398" s="24" t="s">
        <v>690</v>
      </c>
    </row>
    <row r="399" spans="1:16" ht="24" customHeight="1" x14ac:dyDescent="0.25">
      <c r="A399" s="1" t="s">
        <v>408</v>
      </c>
      <c r="B399" s="1" t="s">
        <v>698</v>
      </c>
      <c r="C399" s="2" t="s">
        <v>0</v>
      </c>
      <c r="D399" s="1" t="s">
        <v>829</v>
      </c>
      <c r="E399" s="2"/>
      <c r="F399" s="22"/>
      <c r="G399" s="4" t="s">
        <v>731</v>
      </c>
      <c r="H399" s="3"/>
      <c r="I399" s="3"/>
      <c r="J399" s="1" t="s">
        <v>723</v>
      </c>
      <c r="K399" s="2" t="s">
        <v>0</v>
      </c>
      <c r="L399" s="22" t="s">
        <v>688</v>
      </c>
      <c r="M399" s="2"/>
      <c r="N399" s="22"/>
      <c r="O399" s="1" t="s">
        <v>930</v>
      </c>
      <c r="P399" s="24" t="s">
        <v>690</v>
      </c>
    </row>
    <row r="400" spans="1:16" ht="24" customHeight="1" x14ac:dyDescent="0.25">
      <c r="A400" s="1" t="s">
        <v>409</v>
      </c>
      <c r="B400" s="1" t="s">
        <v>698</v>
      </c>
      <c r="C400" s="2" t="s">
        <v>0</v>
      </c>
      <c r="D400" s="1" t="s">
        <v>830</v>
      </c>
      <c r="E400" s="2"/>
      <c r="F400" s="22"/>
      <c r="G400" s="4" t="s">
        <v>731</v>
      </c>
      <c r="H400" s="3"/>
      <c r="I400" s="3"/>
      <c r="J400" s="1" t="s">
        <v>649</v>
      </c>
      <c r="K400" s="2" t="s">
        <v>0</v>
      </c>
      <c r="L400" s="1" t="s">
        <v>649</v>
      </c>
      <c r="M400" s="2" t="s">
        <v>0</v>
      </c>
      <c r="N400" s="22" t="s">
        <v>688</v>
      </c>
      <c r="O400" s="1" t="s">
        <v>931</v>
      </c>
      <c r="P400" s="24" t="s">
        <v>756</v>
      </c>
    </row>
    <row r="401" spans="1:16" ht="24" customHeight="1" x14ac:dyDescent="0.25">
      <c r="A401" s="1" t="s">
        <v>410</v>
      </c>
      <c r="B401" s="1" t="s">
        <v>698</v>
      </c>
      <c r="C401" s="2" t="s">
        <v>0</v>
      </c>
      <c r="D401" s="1" t="s">
        <v>748</v>
      </c>
      <c r="E401" s="2"/>
      <c r="F401" s="22"/>
      <c r="G401" s="4" t="s">
        <v>731</v>
      </c>
      <c r="H401" s="3"/>
      <c r="I401" s="3"/>
      <c r="J401" s="1" t="s">
        <v>653</v>
      </c>
      <c r="K401" s="2" t="s">
        <v>0</v>
      </c>
      <c r="L401" s="22" t="s">
        <v>688</v>
      </c>
      <c r="M401" s="2"/>
      <c r="N401" s="22"/>
      <c r="O401" s="1" t="s">
        <v>930</v>
      </c>
      <c r="P401" s="24" t="s">
        <v>703</v>
      </c>
    </row>
    <row r="402" spans="1:16" ht="24" customHeight="1" x14ac:dyDescent="0.25">
      <c r="A402" s="1" t="s">
        <v>411</v>
      </c>
      <c r="B402" s="1" t="s">
        <v>698</v>
      </c>
      <c r="C402" s="2" t="s">
        <v>0</v>
      </c>
      <c r="D402" s="1" t="s">
        <v>748</v>
      </c>
      <c r="E402" s="2"/>
      <c r="F402" s="22"/>
      <c r="G402" s="4" t="s">
        <v>731</v>
      </c>
      <c r="H402" s="3"/>
      <c r="I402" s="3"/>
      <c r="J402" s="1" t="s">
        <v>653</v>
      </c>
      <c r="K402" s="2" t="s">
        <v>0</v>
      </c>
      <c r="L402" s="22" t="s">
        <v>636</v>
      </c>
      <c r="M402" s="2" t="s">
        <v>0</v>
      </c>
      <c r="N402" s="22" t="s">
        <v>639</v>
      </c>
      <c r="O402" s="1" t="s">
        <v>931</v>
      </c>
      <c r="P402" s="24" t="s">
        <v>703</v>
      </c>
    </row>
    <row r="403" spans="1:16" ht="24" customHeight="1" x14ac:dyDescent="0.25">
      <c r="A403" s="1" t="s">
        <v>412</v>
      </c>
      <c r="B403" s="1" t="s">
        <v>698</v>
      </c>
      <c r="C403" s="2" t="s">
        <v>0</v>
      </c>
      <c r="D403" s="1" t="s">
        <v>749</v>
      </c>
      <c r="E403" s="2"/>
      <c r="F403" s="22"/>
      <c r="G403" s="4" t="s">
        <v>731</v>
      </c>
      <c r="H403" s="3"/>
      <c r="I403" s="3"/>
      <c r="J403" s="1" t="s">
        <v>654</v>
      </c>
      <c r="K403" s="2" t="s">
        <v>0</v>
      </c>
      <c r="L403" s="22" t="s">
        <v>688</v>
      </c>
      <c r="M403" s="2"/>
      <c r="N403" s="22"/>
      <c r="O403" s="1" t="s">
        <v>930</v>
      </c>
      <c r="P403" s="24" t="s">
        <v>703</v>
      </c>
    </row>
    <row r="404" spans="1:16" ht="24" customHeight="1" x14ac:dyDescent="0.25">
      <c r="A404" s="1" t="s">
        <v>413</v>
      </c>
      <c r="B404" s="1" t="s">
        <v>698</v>
      </c>
      <c r="C404" s="2" t="s">
        <v>0</v>
      </c>
      <c r="D404" s="1" t="s">
        <v>749</v>
      </c>
      <c r="E404" s="2"/>
      <c r="F404" s="22"/>
      <c r="G404" s="4" t="s">
        <v>731</v>
      </c>
      <c r="H404" s="3"/>
      <c r="I404" s="3"/>
      <c r="J404" s="1" t="s">
        <v>654</v>
      </c>
      <c r="K404" s="2" t="s">
        <v>0</v>
      </c>
      <c r="L404" s="22" t="s">
        <v>636</v>
      </c>
      <c r="M404" s="2" t="s">
        <v>0</v>
      </c>
      <c r="N404" s="22" t="s">
        <v>639</v>
      </c>
      <c r="O404" s="1" t="s">
        <v>931</v>
      </c>
      <c r="P404" s="24" t="s">
        <v>703</v>
      </c>
    </row>
    <row r="405" spans="1:16" ht="24" customHeight="1" x14ac:dyDescent="0.25">
      <c r="A405" s="1" t="s">
        <v>414</v>
      </c>
      <c r="B405" s="1" t="s">
        <v>834</v>
      </c>
      <c r="C405" s="2" t="s">
        <v>0</v>
      </c>
      <c r="D405" s="1" t="s">
        <v>823</v>
      </c>
      <c r="E405" s="2"/>
      <c r="F405" s="22"/>
      <c r="G405" s="4" t="s">
        <v>731</v>
      </c>
      <c r="H405" s="3"/>
      <c r="I405" s="3"/>
      <c r="J405" s="1" t="s">
        <v>738</v>
      </c>
      <c r="K405" s="2" t="s">
        <v>0</v>
      </c>
      <c r="L405" s="1" t="s">
        <v>739</v>
      </c>
      <c r="M405" s="2"/>
      <c r="N405" s="22"/>
      <c r="O405" s="1" t="s">
        <v>930</v>
      </c>
      <c r="P405" s="24" t="s">
        <v>756</v>
      </c>
    </row>
    <row r="406" spans="1:16" ht="24" customHeight="1" x14ac:dyDescent="0.25">
      <c r="A406" s="1" t="s">
        <v>415</v>
      </c>
      <c r="B406" s="1" t="s">
        <v>834</v>
      </c>
      <c r="C406" s="2" t="s">
        <v>0</v>
      </c>
      <c r="D406" s="1" t="s">
        <v>823</v>
      </c>
      <c r="E406" s="2"/>
      <c r="F406" s="22"/>
      <c r="G406" s="4" t="s">
        <v>731</v>
      </c>
      <c r="H406" s="3"/>
      <c r="I406" s="3"/>
      <c r="J406" s="1" t="s">
        <v>738</v>
      </c>
      <c r="K406" s="2" t="s">
        <v>0</v>
      </c>
      <c r="L406" s="22" t="s">
        <v>636</v>
      </c>
      <c r="M406" s="2" t="s">
        <v>0</v>
      </c>
      <c r="N406" s="1" t="s">
        <v>649</v>
      </c>
      <c r="O406" s="1" t="s">
        <v>931</v>
      </c>
      <c r="P406" s="24" t="s">
        <v>690</v>
      </c>
    </row>
    <row r="407" spans="1:16" ht="24" customHeight="1" x14ac:dyDescent="0.25">
      <c r="A407" s="1" t="s">
        <v>416</v>
      </c>
      <c r="B407" s="1" t="s">
        <v>834</v>
      </c>
      <c r="C407" s="2" t="s">
        <v>0</v>
      </c>
      <c r="D407" s="1" t="s">
        <v>824</v>
      </c>
      <c r="E407" s="2"/>
      <c r="F407" s="22"/>
      <c r="G407" s="4" t="s">
        <v>731</v>
      </c>
      <c r="H407" s="3"/>
      <c r="I407" s="3"/>
      <c r="J407" s="1" t="s">
        <v>688</v>
      </c>
      <c r="K407" s="2" t="s">
        <v>0</v>
      </c>
      <c r="L407" s="1" t="s">
        <v>739</v>
      </c>
      <c r="M407" s="2"/>
      <c r="N407" s="22"/>
      <c r="O407" s="1" t="s">
        <v>930</v>
      </c>
      <c r="P407" s="24" t="s">
        <v>756</v>
      </c>
    </row>
    <row r="408" spans="1:16" ht="24" customHeight="1" x14ac:dyDescent="0.25">
      <c r="A408" s="1" t="s">
        <v>417</v>
      </c>
      <c r="B408" s="1" t="s">
        <v>834</v>
      </c>
      <c r="C408" s="2" t="s">
        <v>0</v>
      </c>
      <c r="D408" s="1" t="s">
        <v>824</v>
      </c>
      <c r="E408" s="2"/>
      <c r="F408" s="22"/>
      <c r="G408" s="4" t="s">
        <v>731</v>
      </c>
      <c r="H408" s="3"/>
      <c r="I408" s="3"/>
      <c r="J408" s="1" t="s">
        <v>688</v>
      </c>
      <c r="K408" s="2" t="s">
        <v>0</v>
      </c>
      <c r="L408" s="22" t="s">
        <v>636</v>
      </c>
      <c r="M408" s="2" t="s">
        <v>0</v>
      </c>
      <c r="N408" s="1" t="s">
        <v>649</v>
      </c>
      <c r="O408" s="1" t="s">
        <v>931</v>
      </c>
      <c r="P408" s="24" t="s">
        <v>690</v>
      </c>
    </row>
    <row r="409" spans="1:16" ht="24" customHeight="1" x14ac:dyDescent="0.25">
      <c r="A409" s="1" t="s">
        <v>418</v>
      </c>
      <c r="B409" s="1" t="s">
        <v>834</v>
      </c>
      <c r="C409" s="2" t="s">
        <v>0</v>
      </c>
      <c r="D409" s="1" t="s">
        <v>826</v>
      </c>
      <c r="E409" s="2"/>
      <c r="F409" s="22"/>
      <c r="G409" s="4" t="s">
        <v>731</v>
      </c>
      <c r="H409" s="3"/>
      <c r="I409" s="3"/>
      <c r="J409" s="1" t="s">
        <v>739</v>
      </c>
      <c r="K409" s="2" t="s">
        <v>0</v>
      </c>
      <c r="L409" s="1" t="s">
        <v>739</v>
      </c>
      <c r="M409" s="2"/>
      <c r="N409" s="22"/>
      <c r="O409" s="1" t="s">
        <v>930</v>
      </c>
      <c r="P409" s="24" t="s">
        <v>756</v>
      </c>
    </row>
    <row r="410" spans="1:16" ht="24" customHeight="1" x14ac:dyDescent="0.25">
      <c r="A410" s="1" t="s">
        <v>419</v>
      </c>
      <c r="B410" s="1" t="s">
        <v>834</v>
      </c>
      <c r="C410" s="2" t="s">
        <v>0</v>
      </c>
      <c r="D410" s="1" t="s">
        <v>826</v>
      </c>
      <c r="E410" s="2"/>
      <c r="F410" s="22"/>
      <c r="G410" s="4" t="s">
        <v>731</v>
      </c>
      <c r="H410" s="3"/>
      <c r="I410" s="3"/>
      <c r="J410" s="1" t="s">
        <v>739</v>
      </c>
      <c r="K410" s="2" t="s">
        <v>0</v>
      </c>
      <c r="L410" s="22" t="s">
        <v>636</v>
      </c>
      <c r="M410" s="2" t="s">
        <v>0</v>
      </c>
      <c r="N410" s="1" t="s">
        <v>649</v>
      </c>
      <c r="O410" s="1" t="s">
        <v>931</v>
      </c>
      <c r="P410" s="24" t="s">
        <v>690</v>
      </c>
    </row>
    <row r="411" spans="1:16" ht="24" customHeight="1" x14ac:dyDescent="0.25">
      <c r="A411" s="1" t="s">
        <v>420</v>
      </c>
      <c r="B411" s="1" t="s">
        <v>834</v>
      </c>
      <c r="C411" s="2" t="s">
        <v>0</v>
      </c>
      <c r="D411" s="1" t="s">
        <v>827</v>
      </c>
      <c r="E411" s="2"/>
      <c r="F411" s="22"/>
      <c r="G411" s="4" t="s">
        <v>731</v>
      </c>
      <c r="H411" s="3"/>
      <c r="I411" s="3"/>
      <c r="J411" s="1" t="s">
        <v>740</v>
      </c>
      <c r="K411" s="2" t="s">
        <v>0</v>
      </c>
      <c r="L411" s="1" t="s">
        <v>739</v>
      </c>
      <c r="M411" s="2"/>
      <c r="N411" s="22"/>
      <c r="O411" s="1" t="s">
        <v>930</v>
      </c>
      <c r="P411" s="24" t="s">
        <v>756</v>
      </c>
    </row>
    <row r="412" spans="1:16" ht="24" customHeight="1" x14ac:dyDescent="0.25">
      <c r="A412" s="1" t="s">
        <v>421</v>
      </c>
      <c r="B412" s="1" t="s">
        <v>834</v>
      </c>
      <c r="C412" s="2" t="s">
        <v>0</v>
      </c>
      <c r="D412" s="1" t="s">
        <v>827</v>
      </c>
      <c r="E412" s="2"/>
      <c r="F412" s="22"/>
      <c r="G412" s="4" t="s">
        <v>731</v>
      </c>
      <c r="H412" s="3"/>
      <c r="I412" s="3"/>
      <c r="J412" s="1" t="s">
        <v>740</v>
      </c>
      <c r="K412" s="2" t="s">
        <v>0</v>
      </c>
      <c r="L412" s="22" t="s">
        <v>636</v>
      </c>
      <c r="M412" s="2" t="s">
        <v>0</v>
      </c>
      <c r="N412" s="1" t="s">
        <v>649</v>
      </c>
      <c r="O412" s="1" t="s">
        <v>931</v>
      </c>
      <c r="P412" s="24" t="s">
        <v>690</v>
      </c>
    </row>
    <row r="413" spans="1:16" ht="24" customHeight="1" x14ac:dyDescent="0.25">
      <c r="A413" s="1" t="s">
        <v>422</v>
      </c>
      <c r="B413" s="1" t="s">
        <v>834</v>
      </c>
      <c r="C413" s="2" t="s">
        <v>0</v>
      </c>
      <c r="D413" s="1" t="s">
        <v>700</v>
      </c>
      <c r="E413" s="2"/>
      <c r="F413" s="22"/>
      <c r="G413" s="4" t="s">
        <v>731</v>
      </c>
      <c r="H413" s="3"/>
      <c r="I413" s="3"/>
      <c r="J413" s="1" t="s">
        <v>639</v>
      </c>
      <c r="K413" s="2" t="s">
        <v>0</v>
      </c>
      <c r="L413" s="1" t="s">
        <v>739</v>
      </c>
      <c r="M413" s="2"/>
      <c r="N413" s="22"/>
      <c r="O413" s="1" t="s">
        <v>930</v>
      </c>
      <c r="P413" s="24" t="s">
        <v>756</v>
      </c>
    </row>
    <row r="414" spans="1:16" ht="24" customHeight="1" x14ac:dyDescent="0.25">
      <c r="A414" s="1" t="s">
        <v>423</v>
      </c>
      <c r="B414" s="1" t="s">
        <v>834</v>
      </c>
      <c r="C414" s="2" t="s">
        <v>0</v>
      </c>
      <c r="D414" s="1" t="s">
        <v>700</v>
      </c>
      <c r="E414" s="2"/>
      <c r="F414" s="22"/>
      <c r="G414" s="4" t="s">
        <v>731</v>
      </c>
      <c r="H414" s="3"/>
      <c r="I414" s="3"/>
      <c r="J414" s="1" t="s">
        <v>639</v>
      </c>
      <c r="K414" s="2" t="s">
        <v>0</v>
      </c>
      <c r="L414" s="22" t="s">
        <v>636</v>
      </c>
      <c r="M414" s="2" t="s">
        <v>0</v>
      </c>
      <c r="N414" s="1" t="s">
        <v>649</v>
      </c>
      <c r="O414" s="1" t="s">
        <v>931</v>
      </c>
      <c r="P414" s="24" t="s">
        <v>690</v>
      </c>
    </row>
    <row r="415" spans="1:16" ht="24" customHeight="1" x14ac:dyDescent="0.25">
      <c r="A415" s="1" t="s">
        <v>424</v>
      </c>
      <c r="B415" s="1" t="s">
        <v>834</v>
      </c>
      <c r="C415" s="2" t="s">
        <v>0</v>
      </c>
      <c r="D415" s="1" t="s">
        <v>828</v>
      </c>
      <c r="E415" s="2"/>
      <c r="F415" s="22"/>
      <c r="G415" s="4" t="s">
        <v>731</v>
      </c>
      <c r="H415" s="3"/>
      <c r="I415" s="3"/>
      <c r="J415" s="1" t="s">
        <v>649</v>
      </c>
      <c r="K415" s="2" t="s">
        <v>0</v>
      </c>
      <c r="L415" s="1" t="s">
        <v>739</v>
      </c>
      <c r="M415" s="2"/>
      <c r="N415" s="22"/>
      <c r="O415" s="1" t="s">
        <v>930</v>
      </c>
      <c r="P415" s="24" t="s">
        <v>756</v>
      </c>
    </row>
    <row r="416" spans="1:16" ht="24" customHeight="1" x14ac:dyDescent="0.25">
      <c r="A416" s="1" t="s">
        <v>425</v>
      </c>
      <c r="B416" s="1" t="s">
        <v>834</v>
      </c>
      <c r="C416" s="2" t="s">
        <v>0</v>
      </c>
      <c r="D416" s="1" t="s">
        <v>828</v>
      </c>
      <c r="E416" s="2"/>
      <c r="F416" s="22"/>
      <c r="G416" s="4" t="s">
        <v>731</v>
      </c>
      <c r="H416" s="3"/>
      <c r="I416" s="3"/>
      <c r="J416" s="1" t="s">
        <v>649</v>
      </c>
      <c r="K416" s="2" t="s">
        <v>0</v>
      </c>
      <c r="L416" s="22" t="s">
        <v>636</v>
      </c>
      <c r="M416" s="2" t="s">
        <v>0</v>
      </c>
      <c r="N416" s="1" t="s">
        <v>649</v>
      </c>
      <c r="O416" s="1" t="s">
        <v>931</v>
      </c>
      <c r="P416" s="24" t="s">
        <v>690</v>
      </c>
    </row>
    <row r="417" spans="1:16" ht="24" customHeight="1" x14ac:dyDescent="0.25">
      <c r="A417" s="1" t="s">
        <v>426</v>
      </c>
      <c r="B417" s="1" t="s">
        <v>834</v>
      </c>
      <c r="C417" s="2" t="s">
        <v>0</v>
      </c>
      <c r="D417" s="1" t="s">
        <v>829</v>
      </c>
      <c r="E417" s="2"/>
      <c r="F417" s="22"/>
      <c r="G417" s="4" t="s">
        <v>731</v>
      </c>
      <c r="H417" s="3"/>
      <c r="I417" s="3"/>
      <c r="J417" s="1" t="s">
        <v>723</v>
      </c>
      <c r="K417" s="2" t="s">
        <v>0</v>
      </c>
      <c r="L417" s="1" t="s">
        <v>739</v>
      </c>
      <c r="M417" s="2"/>
      <c r="N417" s="22"/>
      <c r="O417" s="1" t="s">
        <v>930</v>
      </c>
      <c r="P417" s="24" t="s">
        <v>756</v>
      </c>
    </row>
    <row r="418" spans="1:16" ht="24" customHeight="1" x14ac:dyDescent="0.25">
      <c r="A418" s="1" t="s">
        <v>427</v>
      </c>
      <c r="B418" s="1" t="s">
        <v>834</v>
      </c>
      <c r="C418" s="2" t="s">
        <v>0</v>
      </c>
      <c r="D418" s="1" t="s">
        <v>829</v>
      </c>
      <c r="E418" s="2"/>
      <c r="F418" s="22"/>
      <c r="G418" s="4" t="s">
        <v>731</v>
      </c>
      <c r="H418" s="3"/>
      <c r="I418" s="3"/>
      <c r="J418" s="1" t="s">
        <v>723</v>
      </c>
      <c r="K418" s="2" t="s">
        <v>0</v>
      </c>
      <c r="L418" s="22" t="s">
        <v>636</v>
      </c>
      <c r="M418" s="2" t="s">
        <v>0</v>
      </c>
      <c r="N418" s="1" t="s">
        <v>649</v>
      </c>
      <c r="O418" s="1" t="s">
        <v>931</v>
      </c>
      <c r="P418" s="24" t="s">
        <v>690</v>
      </c>
    </row>
    <row r="419" spans="1:16" ht="24" customHeight="1" x14ac:dyDescent="0.25">
      <c r="A419" s="1" t="s">
        <v>428</v>
      </c>
      <c r="B419" s="1" t="s">
        <v>834</v>
      </c>
      <c r="C419" s="2" t="s">
        <v>0</v>
      </c>
      <c r="D419" s="1" t="s">
        <v>830</v>
      </c>
      <c r="E419" s="2"/>
      <c r="F419" s="22"/>
      <c r="G419" s="4" t="s">
        <v>731</v>
      </c>
      <c r="H419" s="3"/>
      <c r="I419" s="3"/>
      <c r="J419" s="1" t="s">
        <v>649</v>
      </c>
      <c r="K419" s="2" t="s">
        <v>0</v>
      </c>
      <c r="L419" s="1" t="s">
        <v>649</v>
      </c>
      <c r="M419" s="2" t="s">
        <v>0</v>
      </c>
      <c r="N419" s="1" t="s">
        <v>739</v>
      </c>
      <c r="O419" s="1" t="s">
        <v>931</v>
      </c>
      <c r="P419" s="24" t="s">
        <v>756</v>
      </c>
    </row>
    <row r="420" spans="1:16" ht="24" customHeight="1" x14ac:dyDescent="0.25">
      <c r="A420" s="1" t="s">
        <v>429</v>
      </c>
      <c r="B420" s="1" t="s">
        <v>834</v>
      </c>
      <c r="C420" s="2" t="s">
        <v>0</v>
      </c>
      <c r="D420" s="1" t="s">
        <v>748</v>
      </c>
      <c r="E420" s="2"/>
      <c r="F420" s="22"/>
      <c r="G420" s="4" t="s">
        <v>731</v>
      </c>
      <c r="H420" s="3"/>
      <c r="I420" s="3"/>
      <c r="J420" s="1" t="s">
        <v>653</v>
      </c>
      <c r="K420" s="2" t="s">
        <v>0</v>
      </c>
      <c r="L420" s="1" t="s">
        <v>739</v>
      </c>
      <c r="M420" s="2"/>
      <c r="N420" s="22"/>
      <c r="O420" s="1" t="s">
        <v>930</v>
      </c>
      <c r="P420" s="24" t="s">
        <v>703</v>
      </c>
    </row>
    <row r="421" spans="1:16" ht="24" customHeight="1" x14ac:dyDescent="0.25">
      <c r="A421" s="1" t="s">
        <v>430</v>
      </c>
      <c r="B421" s="1" t="s">
        <v>834</v>
      </c>
      <c r="C421" s="2" t="s">
        <v>0</v>
      </c>
      <c r="D421" s="1" t="s">
        <v>748</v>
      </c>
      <c r="E421" s="2"/>
      <c r="F421" s="22"/>
      <c r="G421" s="4" t="s">
        <v>731</v>
      </c>
      <c r="H421" s="3"/>
      <c r="I421" s="3"/>
      <c r="J421" s="1" t="s">
        <v>653</v>
      </c>
      <c r="K421" s="2" t="s">
        <v>0</v>
      </c>
      <c r="L421" s="22" t="s">
        <v>636</v>
      </c>
      <c r="M421" s="2" t="s">
        <v>0</v>
      </c>
      <c r="N421" s="1" t="s">
        <v>649</v>
      </c>
      <c r="O421" s="1" t="s">
        <v>931</v>
      </c>
      <c r="P421" s="24" t="s">
        <v>703</v>
      </c>
    </row>
    <row r="422" spans="1:16" ht="24" customHeight="1" x14ac:dyDescent="0.25">
      <c r="A422" s="1" t="s">
        <v>431</v>
      </c>
      <c r="B422" s="1" t="s">
        <v>834</v>
      </c>
      <c r="C422" s="2" t="s">
        <v>0</v>
      </c>
      <c r="D422" s="1" t="s">
        <v>749</v>
      </c>
      <c r="E422" s="2"/>
      <c r="F422" s="22"/>
      <c r="G422" s="4" t="s">
        <v>731</v>
      </c>
      <c r="H422" s="3"/>
      <c r="I422" s="3"/>
      <c r="J422" s="1" t="s">
        <v>654</v>
      </c>
      <c r="K422" s="2" t="s">
        <v>0</v>
      </c>
      <c r="L422" s="1" t="s">
        <v>739</v>
      </c>
      <c r="M422" s="2"/>
      <c r="N422" s="22"/>
      <c r="O422" s="1" t="s">
        <v>930</v>
      </c>
      <c r="P422" s="24" t="s">
        <v>703</v>
      </c>
    </row>
    <row r="423" spans="1:16" ht="24" customHeight="1" x14ac:dyDescent="0.25">
      <c r="A423" s="1" t="s">
        <v>432</v>
      </c>
      <c r="B423" s="1" t="s">
        <v>834</v>
      </c>
      <c r="C423" s="2" t="s">
        <v>0</v>
      </c>
      <c r="D423" s="1" t="s">
        <v>749</v>
      </c>
      <c r="E423" s="2"/>
      <c r="F423" s="22"/>
      <c r="G423" s="4" t="s">
        <v>731</v>
      </c>
      <c r="H423" s="3"/>
      <c r="I423" s="3"/>
      <c r="J423" s="1" t="s">
        <v>654</v>
      </c>
      <c r="K423" s="2" t="s">
        <v>0</v>
      </c>
      <c r="L423" s="22" t="s">
        <v>636</v>
      </c>
      <c r="M423" s="2" t="s">
        <v>0</v>
      </c>
      <c r="N423" s="1" t="s">
        <v>649</v>
      </c>
      <c r="O423" s="1" t="s">
        <v>931</v>
      </c>
      <c r="P423" s="24" t="s">
        <v>703</v>
      </c>
    </row>
    <row r="424" spans="1:16" ht="24" customHeight="1" x14ac:dyDescent="0.25">
      <c r="A424" s="1" t="s">
        <v>433</v>
      </c>
      <c r="B424" s="1" t="s">
        <v>685</v>
      </c>
      <c r="C424" s="2" t="s">
        <v>0</v>
      </c>
      <c r="D424" s="1" t="s">
        <v>823</v>
      </c>
      <c r="E424" s="2"/>
      <c r="F424" s="22"/>
      <c r="G424" s="4" t="s">
        <v>731</v>
      </c>
      <c r="H424" s="3"/>
      <c r="I424" s="3"/>
      <c r="J424" s="1" t="s">
        <v>738</v>
      </c>
      <c r="K424" s="2" t="s">
        <v>0</v>
      </c>
      <c r="L424" s="22" t="s">
        <v>653</v>
      </c>
      <c r="M424" s="2"/>
      <c r="N424" s="22"/>
      <c r="O424" s="1" t="s">
        <v>930</v>
      </c>
      <c r="P424" s="24" t="s">
        <v>703</v>
      </c>
    </row>
    <row r="425" spans="1:16" ht="24" customHeight="1" x14ac:dyDescent="0.25">
      <c r="A425" s="1" t="s">
        <v>434</v>
      </c>
      <c r="B425" s="1" t="s">
        <v>685</v>
      </c>
      <c r="C425" s="2" t="s">
        <v>0</v>
      </c>
      <c r="D425" s="1" t="s">
        <v>824</v>
      </c>
      <c r="E425" s="2"/>
      <c r="F425" s="22"/>
      <c r="G425" s="4" t="s">
        <v>731</v>
      </c>
      <c r="H425" s="3"/>
      <c r="I425" s="3"/>
      <c r="J425" s="1" t="s">
        <v>688</v>
      </c>
      <c r="K425" s="2" t="s">
        <v>0</v>
      </c>
      <c r="L425" s="22" t="s">
        <v>653</v>
      </c>
      <c r="M425" s="2"/>
      <c r="N425" s="22"/>
      <c r="O425" s="1" t="s">
        <v>930</v>
      </c>
      <c r="P425" s="24" t="s">
        <v>703</v>
      </c>
    </row>
    <row r="426" spans="1:16" ht="24" customHeight="1" x14ac:dyDescent="0.25">
      <c r="A426" s="1" t="s">
        <v>435</v>
      </c>
      <c r="B426" s="1" t="s">
        <v>685</v>
      </c>
      <c r="C426" s="2" t="s">
        <v>0</v>
      </c>
      <c r="D426" s="1" t="s">
        <v>826</v>
      </c>
      <c r="E426" s="2"/>
      <c r="F426" s="22"/>
      <c r="G426" s="4" t="s">
        <v>731</v>
      </c>
      <c r="H426" s="3"/>
      <c r="I426" s="3"/>
      <c r="J426" s="1" t="s">
        <v>739</v>
      </c>
      <c r="K426" s="2" t="s">
        <v>0</v>
      </c>
      <c r="L426" s="22" t="s">
        <v>653</v>
      </c>
      <c r="M426" s="2"/>
      <c r="N426" s="22"/>
      <c r="O426" s="1" t="s">
        <v>930</v>
      </c>
      <c r="P426" s="24" t="s">
        <v>703</v>
      </c>
    </row>
    <row r="427" spans="1:16" ht="24" customHeight="1" x14ac:dyDescent="0.25">
      <c r="A427" s="1" t="s">
        <v>436</v>
      </c>
      <c r="B427" s="1" t="s">
        <v>685</v>
      </c>
      <c r="C427" s="2" t="s">
        <v>0</v>
      </c>
      <c r="D427" s="1" t="s">
        <v>827</v>
      </c>
      <c r="E427" s="2"/>
      <c r="F427" s="22"/>
      <c r="G427" s="4" t="s">
        <v>731</v>
      </c>
      <c r="H427" s="3"/>
      <c r="I427" s="3"/>
      <c r="J427" s="1" t="s">
        <v>740</v>
      </c>
      <c r="K427" s="2" t="s">
        <v>0</v>
      </c>
      <c r="L427" s="22" t="s">
        <v>653</v>
      </c>
      <c r="M427" s="2"/>
      <c r="N427" s="22"/>
      <c r="O427" s="1" t="s">
        <v>930</v>
      </c>
      <c r="P427" s="24" t="s">
        <v>703</v>
      </c>
    </row>
    <row r="428" spans="1:16" ht="24" customHeight="1" x14ac:dyDescent="0.25">
      <c r="A428" s="1" t="s">
        <v>437</v>
      </c>
      <c r="B428" s="1" t="s">
        <v>685</v>
      </c>
      <c r="C428" s="2" t="s">
        <v>0</v>
      </c>
      <c r="D428" s="1" t="s">
        <v>700</v>
      </c>
      <c r="E428" s="2"/>
      <c r="F428" s="22"/>
      <c r="G428" s="4" t="s">
        <v>731</v>
      </c>
      <c r="H428" s="3"/>
      <c r="I428" s="3"/>
      <c r="J428" s="1" t="s">
        <v>639</v>
      </c>
      <c r="K428" s="2" t="s">
        <v>0</v>
      </c>
      <c r="L428" s="22" t="s">
        <v>653</v>
      </c>
      <c r="M428" s="2"/>
      <c r="N428" s="22"/>
      <c r="O428" s="1" t="s">
        <v>930</v>
      </c>
      <c r="P428" s="24" t="s">
        <v>703</v>
      </c>
    </row>
    <row r="429" spans="1:16" ht="24" customHeight="1" x14ac:dyDescent="0.25">
      <c r="A429" s="1" t="s">
        <v>438</v>
      </c>
      <c r="B429" s="1" t="s">
        <v>685</v>
      </c>
      <c r="C429" s="2" t="s">
        <v>0</v>
      </c>
      <c r="D429" s="1" t="s">
        <v>828</v>
      </c>
      <c r="E429" s="2"/>
      <c r="F429" s="22"/>
      <c r="G429" s="4" t="s">
        <v>731</v>
      </c>
      <c r="H429" s="3"/>
      <c r="I429" s="3"/>
      <c r="J429" s="1" t="s">
        <v>649</v>
      </c>
      <c r="K429" s="2" t="s">
        <v>0</v>
      </c>
      <c r="L429" s="22" t="s">
        <v>653</v>
      </c>
      <c r="M429" s="2"/>
      <c r="N429" s="22"/>
      <c r="O429" s="1" t="s">
        <v>930</v>
      </c>
      <c r="P429" s="24" t="s">
        <v>703</v>
      </c>
    </row>
    <row r="430" spans="1:16" ht="24" customHeight="1" x14ac:dyDescent="0.25">
      <c r="A430" s="1" t="s">
        <v>439</v>
      </c>
      <c r="B430" s="1" t="s">
        <v>685</v>
      </c>
      <c r="C430" s="2" t="s">
        <v>0</v>
      </c>
      <c r="D430" s="1" t="s">
        <v>829</v>
      </c>
      <c r="E430" s="2"/>
      <c r="F430" s="22"/>
      <c r="G430" s="4" t="s">
        <v>731</v>
      </c>
      <c r="H430" s="3"/>
      <c r="I430" s="3"/>
      <c r="J430" s="1" t="s">
        <v>723</v>
      </c>
      <c r="K430" s="2" t="s">
        <v>0</v>
      </c>
      <c r="L430" s="22" t="s">
        <v>653</v>
      </c>
      <c r="M430" s="2"/>
      <c r="N430" s="22"/>
      <c r="O430" s="1" t="s">
        <v>930</v>
      </c>
      <c r="P430" s="24" t="s">
        <v>703</v>
      </c>
    </row>
    <row r="431" spans="1:16" ht="24" customHeight="1" x14ac:dyDescent="0.25">
      <c r="A431" s="1" t="s">
        <v>440</v>
      </c>
      <c r="B431" s="1" t="s">
        <v>685</v>
      </c>
      <c r="C431" s="2" t="s">
        <v>0</v>
      </c>
      <c r="D431" s="1" t="s">
        <v>830</v>
      </c>
      <c r="E431" s="2"/>
      <c r="F431" s="22"/>
      <c r="G431" s="4" t="s">
        <v>731</v>
      </c>
      <c r="H431" s="3"/>
      <c r="I431" s="3"/>
      <c r="J431" s="1" t="s">
        <v>649</v>
      </c>
      <c r="K431" s="2" t="s">
        <v>0</v>
      </c>
      <c r="L431" s="1" t="s">
        <v>649</v>
      </c>
      <c r="M431" s="2" t="s">
        <v>0</v>
      </c>
      <c r="N431" s="22" t="s">
        <v>653</v>
      </c>
      <c r="O431" s="1" t="s">
        <v>931</v>
      </c>
      <c r="P431" s="24" t="s">
        <v>703</v>
      </c>
    </row>
    <row r="432" spans="1:16" ht="24" customHeight="1" x14ac:dyDescent="0.25">
      <c r="A432" s="1" t="s">
        <v>441</v>
      </c>
      <c r="B432" s="1" t="s">
        <v>685</v>
      </c>
      <c r="C432" s="2" t="s">
        <v>0</v>
      </c>
      <c r="D432" s="1" t="s">
        <v>748</v>
      </c>
      <c r="E432" s="2"/>
      <c r="F432" s="22"/>
      <c r="G432" s="4" t="s">
        <v>731</v>
      </c>
      <c r="H432" s="3"/>
      <c r="I432" s="3"/>
      <c r="J432" s="1" t="s">
        <v>653</v>
      </c>
      <c r="K432" s="2" t="s">
        <v>0</v>
      </c>
      <c r="L432" s="22" t="s">
        <v>653</v>
      </c>
      <c r="M432" s="2"/>
      <c r="N432" s="22"/>
      <c r="O432" s="1" t="s">
        <v>930</v>
      </c>
      <c r="P432" s="24" t="s">
        <v>703</v>
      </c>
    </row>
    <row r="433" spans="1:16" ht="24" customHeight="1" x14ac:dyDescent="0.25">
      <c r="A433" s="1" t="s">
        <v>442</v>
      </c>
      <c r="B433" s="1" t="s">
        <v>685</v>
      </c>
      <c r="C433" s="2" t="s">
        <v>0</v>
      </c>
      <c r="D433" s="1" t="s">
        <v>749</v>
      </c>
      <c r="E433" s="2"/>
      <c r="F433" s="22"/>
      <c r="G433" s="4" t="s">
        <v>731</v>
      </c>
      <c r="H433" s="3"/>
      <c r="I433" s="3"/>
      <c r="J433" s="1" t="s">
        <v>654</v>
      </c>
      <c r="K433" s="2" t="s">
        <v>0</v>
      </c>
      <c r="L433" s="22" t="s">
        <v>653</v>
      </c>
      <c r="M433" s="2"/>
      <c r="N433" s="22"/>
      <c r="O433" s="1" t="s">
        <v>930</v>
      </c>
      <c r="P433" s="24" t="s">
        <v>703</v>
      </c>
    </row>
    <row r="434" spans="1:16" ht="24" customHeight="1" x14ac:dyDescent="0.25">
      <c r="A434" s="1" t="s">
        <v>443</v>
      </c>
      <c r="B434" s="1" t="s">
        <v>835</v>
      </c>
      <c r="C434" s="2" t="s">
        <v>0</v>
      </c>
      <c r="D434" s="1" t="s">
        <v>823</v>
      </c>
      <c r="E434" s="2"/>
      <c r="F434" s="22"/>
      <c r="G434" s="4" t="s">
        <v>731</v>
      </c>
      <c r="H434" s="3"/>
      <c r="I434" s="3"/>
      <c r="J434" s="1" t="s">
        <v>738</v>
      </c>
      <c r="K434" s="2" t="s">
        <v>0</v>
      </c>
      <c r="L434" s="1" t="s">
        <v>699</v>
      </c>
      <c r="M434" s="2"/>
      <c r="N434" s="22"/>
      <c r="O434" s="1" t="s">
        <v>930</v>
      </c>
      <c r="P434" s="24" t="s">
        <v>703</v>
      </c>
    </row>
    <row r="435" spans="1:16" ht="24" customHeight="1" x14ac:dyDescent="0.25">
      <c r="A435" s="1" t="s">
        <v>444</v>
      </c>
      <c r="B435" s="1" t="s">
        <v>835</v>
      </c>
      <c r="C435" s="2" t="s">
        <v>0</v>
      </c>
      <c r="D435" s="1" t="s">
        <v>823</v>
      </c>
      <c r="E435" s="2"/>
      <c r="F435" s="22"/>
      <c r="G435" s="4" t="s">
        <v>731</v>
      </c>
      <c r="H435" s="3"/>
      <c r="I435" s="3"/>
      <c r="J435" s="1" t="s">
        <v>738</v>
      </c>
      <c r="K435" s="2" t="s">
        <v>0</v>
      </c>
      <c r="L435" s="22" t="s">
        <v>653</v>
      </c>
      <c r="M435" s="2" t="s">
        <v>0</v>
      </c>
      <c r="N435" s="22" t="s">
        <v>653</v>
      </c>
      <c r="O435" s="1" t="s">
        <v>931</v>
      </c>
      <c r="P435" s="24" t="s">
        <v>703</v>
      </c>
    </row>
    <row r="436" spans="1:16" ht="24" customHeight="1" x14ac:dyDescent="0.25">
      <c r="A436" s="1" t="s">
        <v>445</v>
      </c>
      <c r="B436" s="1" t="s">
        <v>835</v>
      </c>
      <c r="C436" s="2" t="s">
        <v>0</v>
      </c>
      <c r="D436" s="1" t="s">
        <v>824</v>
      </c>
      <c r="E436" s="2"/>
      <c r="F436" s="22"/>
      <c r="G436" s="4" t="s">
        <v>731</v>
      </c>
      <c r="H436" s="3"/>
      <c r="I436" s="3"/>
      <c r="J436" s="1" t="s">
        <v>688</v>
      </c>
      <c r="K436" s="2" t="s">
        <v>0</v>
      </c>
      <c r="L436" s="1" t="s">
        <v>699</v>
      </c>
      <c r="M436" s="2"/>
      <c r="N436" s="22"/>
      <c r="O436" s="1" t="s">
        <v>930</v>
      </c>
      <c r="P436" s="24" t="s">
        <v>703</v>
      </c>
    </row>
    <row r="437" spans="1:16" ht="24" customHeight="1" x14ac:dyDescent="0.25">
      <c r="A437" s="1" t="s">
        <v>446</v>
      </c>
      <c r="B437" s="1" t="s">
        <v>835</v>
      </c>
      <c r="C437" s="2" t="s">
        <v>0</v>
      </c>
      <c r="D437" s="1" t="s">
        <v>824</v>
      </c>
      <c r="E437" s="2"/>
      <c r="F437" s="22"/>
      <c r="G437" s="4" t="s">
        <v>731</v>
      </c>
      <c r="H437" s="3"/>
      <c r="I437" s="3"/>
      <c r="J437" s="1" t="s">
        <v>688</v>
      </c>
      <c r="K437" s="2" t="s">
        <v>0</v>
      </c>
      <c r="L437" s="22" t="s">
        <v>653</v>
      </c>
      <c r="M437" s="2" t="s">
        <v>0</v>
      </c>
      <c r="N437" s="22" t="s">
        <v>653</v>
      </c>
      <c r="O437" s="1" t="s">
        <v>931</v>
      </c>
      <c r="P437" s="24" t="s">
        <v>703</v>
      </c>
    </row>
    <row r="438" spans="1:16" ht="24" customHeight="1" x14ac:dyDescent="0.25">
      <c r="A438" s="1" t="s">
        <v>447</v>
      </c>
      <c r="B438" s="1" t="s">
        <v>835</v>
      </c>
      <c r="C438" s="2" t="s">
        <v>0</v>
      </c>
      <c r="D438" s="1" t="s">
        <v>826</v>
      </c>
      <c r="E438" s="2"/>
      <c r="F438" s="22"/>
      <c r="G438" s="4" t="s">
        <v>731</v>
      </c>
      <c r="H438" s="3"/>
      <c r="I438" s="3"/>
      <c r="J438" s="1" t="s">
        <v>739</v>
      </c>
      <c r="K438" s="2" t="s">
        <v>0</v>
      </c>
      <c r="L438" s="1" t="s">
        <v>699</v>
      </c>
      <c r="M438" s="2"/>
      <c r="N438" s="22"/>
      <c r="O438" s="1" t="s">
        <v>930</v>
      </c>
      <c r="P438" s="24" t="s">
        <v>703</v>
      </c>
    </row>
    <row r="439" spans="1:16" ht="24" customHeight="1" x14ac:dyDescent="0.25">
      <c r="A439" s="1" t="s">
        <v>448</v>
      </c>
      <c r="B439" s="1" t="s">
        <v>835</v>
      </c>
      <c r="C439" s="2" t="s">
        <v>0</v>
      </c>
      <c r="D439" s="1" t="s">
        <v>826</v>
      </c>
      <c r="E439" s="2"/>
      <c r="F439" s="22"/>
      <c r="G439" s="4" t="s">
        <v>731</v>
      </c>
      <c r="H439" s="3"/>
      <c r="I439" s="3"/>
      <c r="J439" s="1" t="s">
        <v>739</v>
      </c>
      <c r="K439" s="2" t="s">
        <v>0</v>
      </c>
      <c r="L439" s="22" t="s">
        <v>653</v>
      </c>
      <c r="M439" s="2" t="s">
        <v>0</v>
      </c>
      <c r="N439" s="22" t="s">
        <v>653</v>
      </c>
      <c r="O439" s="1" t="s">
        <v>931</v>
      </c>
      <c r="P439" s="24" t="s">
        <v>703</v>
      </c>
    </row>
    <row r="440" spans="1:16" ht="24" customHeight="1" x14ac:dyDescent="0.25">
      <c r="A440" s="1" t="s">
        <v>449</v>
      </c>
      <c r="B440" s="1" t="s">
        <v>835</v>
      </c>
      <c r="C440" s="2" t="s">
        <v>0</v>
      </c>
      <c r="D440" s="1" t="s">
        <v>827</v>
      </c>
      <c r="E440" s="2"/>
      <c r="F440" s="22"/>
      <c r="G440" s="4" t="s">
        <v>731</v>
      </c>
      <c r="H440" s="3"/>
      <c r="I440" s="3"/>
      <c r="J440" s="1" t="s">
        <v>740</v>
      </c>
      <c r="K440" s="2" t="s">
        <v>0</v>
      </c>
      <c r="L440" s="1" t="s">
        <v>699</v>
      </c>
      <c r="M440" s="2"/>
      <c r="N440" s="22"/>
      <c r="O440" s="1" t="s">
        <v>930</v>
      </c>
      <c r="P440" s="24" t="s">
        <v>703</v>
      </c>
    </row>
    <row r="441" spans="1:16" ht="24" customHeight="1" x14ac:dyDescent="0.25">
      <c r="A441" s="1" t="s">
        <v>450</v>
      </c>
      <c r="B441" s="1" t="s">
        <v>835</v>
      </c>
      <c r="C441" s="2" t="s">
        <v>0</v>
      </c>
      <c r="D441" s="1" t="s">
        <v>827</v>
      </c>
      <c r="E441" s="2"/>
      <c r="F441" s="22"/>
      <c r="G441" s="4" t="s">
        <v>731</v>
      </c>
      <c r="H441" s="3"/>
      <c r="I441" s="3"/>
      <c r="J441" s="1" t="s">
        <v>740</v>
      </c>
      <c r="K441" s="2" t="s">
        <v>0</v>
      </c>
      <c r="L441" s="22" t="s">
        <v>653</v>
      </c>
      <c r="M441" s="2" t="s">
        <v>0</v>
      </c>
      <c r="N441" s="22" t="s">
        <v>653</v>
      </c>
      <c r="O441" s="1" t="s">
        <v>931</v>
      </c>
      <c r="P441" s="24" t="s">
        <v>703</v>
      </c>
    </row>
    <row r="442" spans="1:16" ht="24" customHeight="1" x14ac:dyDescent="0.25">
      <c r="A442" s="1" t="s">
        <v>451</v>
      </c>
      <c r="B442" s="1" t="s">
        <v>835</v>
      </c>
      <c r="C442" s="2" t="s">
        <v>0</v>
      </c>
      <c r="D442" s="1" t="s">
        <v>700</v>
      </c>
      <c r="E442" s="2"/>
      <c r="F442" s="22"/>
      <c r="G442" s="4" t="s">
        <v>731</v>
      </c>
      <c r="H442" s="3"/>
      <c r="I442" s="3"/>
      <c r="J442" s="1" t="s">
        <v>639</v>
      </c>
      <c r="K442" s="2" t="s">
        <v>0</v>
      </c>
      <c r="L442" s="22" t="s">
        <v>653</v>
      </c>
      <c r="M442" s="2" t="s">
        <v>0</v>
      </c>
      <c r="N442" s="22" t="s">
        <v>653</v>
      </c>
      <c r="O442" s="1" t="s">
        <v>931</v>
      </c>
      <c r="P442" s="24" t="s">
        <v>703</v>
      </c>
    </row>
    <row r="443" spans="1:16" ht="24" customHeight="1" x14ac:dyDescent="0.25">
      <c r="A443" s="1" t="s">
        <v>452</v>
      </c>
      <c r="B443" s="1" t="s">
        <v>835</v>
      </c>
      <c r="C443" s="2" t="s">
        <v>0</v>
      </c>
      <c r="D443" s="1" t="s">
        <v>700</v>
      </c>
      <c r="E443" s="2"/>
      <c r="F443" s="22"/>
      <c r="G443" s="4" t="s">
        <v>731</v>
      </c>
      <c r="H443" s="3"/>
      <c r="I443" s="3"/>
      <c r="J443" s="1" t="s">
        <v>639</v>
      </c>
      <c r="K443" s="2" t="s">
        <v>0</v>
      </c>
      <c r="L443" s="1" t="s">
        <v>699</v>
      </c>
      <c r="M443" s="2"/>
      <c r="N443" s="22"/>
      <c r="O443" s="1" t="s">
        <v>930</v>
      </c>
      <c r="P443" s="24" t="s">
        <v>703</v>
      </c>
    </row>
    <row r="444" spans="1:16" ht="24" customHeight="1" x14ac:dyDescent="0.25">
      <c r="A444" s="1" t="s">
        <v>453</v>
      </c>
      <c r="B444" s="1" t="s">
        <v>835</v>
      </c>
      <c r="C444" s="2" t="s">
        <v>0</v>
      </c>
      <c r="D444" s="1" t="s">
        <v>828</v>
      </c>
      <c r="E444" s="2"/>
      <c r="F444" s="22"/>
      <c r="G444" s="4" t="s">
        <v>731</v>
      </c>
      <c r="H444" s="3"/>
      <c r="I444" s="3"/>
      <c r="J444" s="1" t="s">
        <v>649</v>
      </c>
      <c r="K444" s="2" t="s">
        <v>0</v>
      </c>
      <c r="L444" s="22" t="s">
        <v>653</v>
      </c>
      <c r="M444" s="2" t="s">
        <v>0</v>
      </c>
      <c r="N444" s="22" t="s">
        <v>653</v>
      </c>
      <c r="O444" s="1" t="s">
        <v>931</v>
      </c>
      <c r="P444" s="24" t="s">
        <v>703</v>
      </c>
    </row>
    <row r="445" spans="1:16" ht="24" customHeight="1" x14ac:dyDescent="0.25">
      <c r="A445" s="1" t="s">
        <v>454</v>
      </c>
      <c r="B445" s="1" t="s">
        <v>835</v>
      </c>
      <c r="C445" s="2" t="s">
        <v>0</v>
      </c>
      <c r="D445" s="1" t="s">
        <v>828</v>
      </c>
      <c r="E445" s="2"/>
      <c r="F445" s="22"/>
      <c r="G445" s="4" t="s">
        <v>731</v>
      </c>
      <c r="H445" s="3"/>
      <c r="I445" s="3"/>
      <c r="J445" s="1" t="s">
        <v>649</v>
      </c>
      <c r="K445" s="2" t="s">
        <v>0</v>
      </c>
      <c r="L445" s="1" t="s">
        <v>699</v>
      </c>
      <c r="M445" s="2"/>
      <c r="N445" s="22"/>
      <c r="O445" s="1" t="s">
        <v>930</v>
      </c>
      <c r="P445" s="24" t="s">
        <v>703</v>
      </c>
    </row>
    <row r="446" spans="1:16" ht="24" customHeight="1" x14ac:dyDescent="0.25">
      <c r="A446" s="1" t="s">
        <v>455</v>
      </c>
      <c r="B446" s="1" t="s">
        <v>835</v>
      </c>
      <c r="C446" s="2" t="s">
        <v>0</v>
      </c>
      <c r="D446" s="1" t="s">
        <v>829</v>
      </c>
      <c r="E446" s="2"/>
      <c r="F446" s="22"/>
      <c r="G446" s="4" t="s">
        <v>731</v>
      </c>
      <c r="H446" s="3"/>
      <c r="I446" s="3"/>
      <c r="J446" s="1" t="s">
        <v>723</v>
      </c>
      <c r="K446" s="2" t="s">
        <v>0</v>
      </c>
      <c r="L446" s="22" t="s">
        <v>653</v>
      </c>
      <c r="M446" s="2" t="s">
        <v>0</v>
      </c>
      <c r="N446" s="22" t="s">
        <v>653</v>
      </c>
      <c r="O446" s="1" t="s">
        <v>931</v>
      </c>
      <c r="P446" s="24" t="s">
        <v>703</v>
      </c>
    </row>
    <row r="447" spans="1:16" ht="24" customHeight="1" x14ac:dyDescent="0.25">
      <c r="A447" s="1" t="s">
        <v>456</v>
      </c>
      <c r="B447" s="1" t="s">
        <v>835</v>
      </c>
      <c r="C447" s="2" t="s">
        <v>0</v>
      </c>
      <c r="D447" s="1" t="s">
        <v>829</v>
      </c>
      <c r="E447" s="2"/>
      <c r="F447" s="22"/>
      <c r="G447" s="4" t="s">
        <v>731</v>
      </c>
      <c r="H447" s="3"/>
      <c r="I447" s="3"/>
      <c r="J447" s="1" t="s">
        <v>723</v>
      </c>
      <c r="K447" s="2" t="s">
        <v>0</v>
      </c>
      <c r="L447" s="1" t="s">
        <v>699</v>
      </c>
      <c r="M447" s="2"/>
      <c r="N447" s="22"/>
      <c r="O447" s="1" t="s">
        <v>930</v>
      </c>
      <c r="P447" s="24" t="s">
        <v>703</v>
      </c>
    </row>
    <row r="448" spans="1:16" ht="24" customHeight="1" x14ac:dyDescent="0.25">
      <c r="A448" s="1" t="s">
        <v>457</v>
      </c>
      <c r="B448" s="1" t="s">
        <v>835</v>
      </c>
      <c r="C448" s="2" t="s">
        <v>0</v>
      </c>
      <c r="D448" s="1" t="s">
        <v>830</v>
      </c>
      <c r="E448" s="2"/>
      <c r="F448" s="22"/>
      <c r="G448" s="4" t="s">
        <v>731</v>
      </c>
      <c r="H448" s="3"/>
      <c r="I448" s="3"/>
      <c r="J448" s="1" t="s">
        <v>735</v>
      </c>
      <c r="K448" s="2" t="s">
        <v>0</v>
      </c>
      <c r="L448" s="1" t="s">
        <v>649</v>
      </c>
      <c r="M448" s="2" t="s">
        <v>0</v>
      </c>
      <c r="N448" s="1" t="s">
        <v>699</v>
      </c>
      <c r="O448" s="1" t="s">
        <v>931</v>
      </c>
      <c r="P448" s="24" t="s">
        <v>703</v>
      </c>
    </row>
    <row r="449" spans="1:16" ht="24" customHeight="1" x14ac:dyDescent="0.25">
      <c r="A449" s="1" t="s">
        <v>458</v>
      </c>
      <c r="B449" s="1" t="s">
        <v>835</v>
      </c>
      <c r="C449" s="2" t="s">
        <v>0</v>
      </c>
      <c r="D449" s="1" t="s">
        <v>748</v>
      </c>
      <c r="E449" s="2"/>
      <c r="F449" s="22"/>
      <c r="G449" s="4" t="s">
        <v>731</v>
      </c>
      <c r="H449" s="3"/>
      <c r="I449" s="3"/>
      <c r="J449" s="1" t="s">
        <v>653</v>
      </c>
      <c r="K449" s="2" t="s">
        <v>0</v>
      </c>
      <c r="L449" s="1" t="s">
        <v>699</v>
      </c>
      <c r="M449" s="2"/>
      <c r="N449" s="22"/>
      <c r="O449" s="1" t="s">
        <v>930</v>
      </c>
      <c r="P449" s="24" t="s">
        <v>703</v>
      </c>
    </row>
    <row r="450" spans="1:16" ht="24" customHeight="1" x14ac:dyDescent="0.25">
      <c r="A450" s="1" t="s">
        <v>459</v>
      </c>
      <c r="B450" s="1" t="s">
        <v>835</v>
      </c>
      <c r="C450" s="2" t="s">
        <v>0</v>
      </c>
      <c r="D450" s="1" t="s">
        <v>748</v>
      </c>
      <c r="E450" s="2"/>
      <c r="F450" s="22"/>
      <c r="G450" s="4" t="s">
        <v>731</v>
      </c>
      <c r="H450" s="3"/>
      <c r="I450" s="3"/>
      <c r="J450" s="1" t="s">
        <v>653</v>
      </c>
      <c r="K450" s="2" t="s">
        <v>0</v>
      </c>
      <c r="L450" s="22" t="s">
        <v>653</v>
      </c>
      <c r="M450" s="2" t="s">
        <v>0</v>
      </c>
      <c r="N450" s="22" t="s">
        <v>653</v>
      </c>
      <c r="O450" s="1" t="s">
        <v>931</v>
      </c>
      <c r="P450" s="24" t="s">
        <v>703</v>
      </c>
    </row>
    <row r="451" spans="1:16" ht="24" customHeight="1" x14ac:dyDescent="0.25">
      <c r="A451" s="1" t="s">
        <v>460</v>
      </c>
      <c r="B451" s="1" t="s">
        <v>835</v>
      </c>
      <c r="C451" s="2" t="s">
        <v>0</v>
      </c>
      <c r="D451" s="1" t="s">
        <v>749</v>
      </c>
      <c r="E451" s="2"/>
      <c r="F451" s="22"/>
      <c r="G451" s="4" t="s">
        <v>731</v>
      </c>
      <c r="H451" s="3"/>
      <c r="I451" s="3"/>
      <c r="J451" s="1" t="s">
        <v>654</v>
      </c>
      <c r="K451" s="2" t="s">
        <v>0</v>
      </c>
      <c r="L451" s="1" t="s">
        <v>699</v>
      </c>
      <c r="M451" s="2"/>
      <c r="N451" s="22"/>
      <c r="O451" s="1" t="s">
        <v>930</v>
      </c>
      <c r="P451" s="24" t="s">
        <v>703</v>
      </c>
    </row>
    <row r="452" spans="1:16" ht="24" customHeight="1" x14ac:dyDescent="0.25">
      <c r="A452" s="1" t="s">
        <v>461</v>
      </c>
      <c r="B452" s="1" t="s">
        <v>835</v>
      </c>
      <c r="C452" s="2" t="s">
        <v>0</v>
      </c>
      <c r="D452" s="1" t="s">
        <v>749</v>
      </c>
      <c r="E452" s="2"/>
      <c r="F452" s="22"/>
      <c r="G452" s="4" t="s">
        <v>731</v>
      </c>
      <c r="H452" s="3"/>
      <c r="I452" s="3"/>
      <c r="J452" s="1" t="s">
        <v>654</v>
      </c>
      <c r="K452" s="2" t="s">
        <v>0</v>
      </c>
      <c r="L452" s="22" t="s">
        <v>653</v>
      </c>
      <c r="M452" s="2" t="s">
        <v>0</v>
      </c>
      <c r="N452" s="22" t="s">
        <v>653</v>
      </c>
      <c r="O452" s="1" t="s">
        <v>931</v>
      </c>
      <c r="P452" s="24" t="s">
        <v>703</v>
      </c>
    </row>
    <row r="453" spans="1:16" ht="24" customHeight="1" x14ac:dyDescent="0.25">
      <c r="A453" s="1" t="s">
        <v>462</v>
      </c>
      <c r="B453" s="1" t="s">
        <v>836</v>
      </c>
      <c r="C453" s="2" t="s">
        <v>0</v>
      </c>
      <c r="D453" s="1" t="s">
        <v>823</v>
      </c>
      <c r="E453" s="2"/>
      <c r="F453" s="22"/>
      <c r="G453" s="4" t="s">
        <v>731</v>
      </c>
      <c r="H453" s="3"/>
      <c r="I453" s="3"/>
      <c r="J453" s="1" t="s">
        <v>738</v>
      </c>
      <c r="K453" s="2" t="s">
        <v>0</v>
      </c>
      <c r="L453" s="22" t="s">
        <v>653</v>
      </c>
      <c r="M453" s="2" t="s">
        <v>0</v>
      </c>
      <c r="N453" s="1" t="s">
        <v>699</v>
      </c>
      <c r="O453" s="1" t="s">
        <v>931</v>
      </c>
      <c r="P453" s="24" t="s">
        <v>690</v>
      </c>
    </row>
    <row r="454" spans="1:16" ht="24" customHeight="1" x14ac:dyDescent="0.25">
      <c r="A454" s="1" t="s">
        <v>463</v>
      </c>
      <c r="B454" s="1" t="s">
        <v>836</v>
      </c>
      <c r="C454" s="2" t="s">
        <v>0</v>
      </c>
      <c r="D454" s="1" t="s">
        <v>824</v>
      </c>
      <c r="E454" s="2"/>
      <c r="F454" s="22"/>
      <c r="G454" s="4" t="s">
        <v>731</v>
      </c>
      <c r="H454" s="3"/>
      <c r="I454" s="3"/>
      <c r="J454" s="1" t="s">
        <v>688</v>
      </c>
      <c r="K454" s="2" t="s">
        <v>0</v>
      </c>
      <c r="L454" s="22" t="s">
        <v>653</v>
      </c>
      <c r="M454" s="2" t="s">
        <v>0</v>
      </c>
      <c r="N454" s="1" t="s">
        <v>699</v>
      </c>
      <c r="O454" s="1" t="s">
        <v>931</v>
      </c>
      <c r="P454" s="24" t="s">
        <v>690</v>
      </c>
    </row>
    <row r="455" spans="1:16" ht="24" customHeight="1" x14ac:dyDescent="0.25">
      <c r="A455" s="1" t="s">
        <v>464</v>
      </c>
      <c r="B455" s="1" t="s">
        <v>836</v>
      </c>
      <c r="C455" s="2" t="s">
        <v>0</v>
      </c>
      <c r="D455" s="1" t="s">
        <v>826</v>
      </c>
      <c r="E455" s="2"/>
      <c r="F455" s="22"/>
      <c r="G455" s="4" t="s">
        <v>731</v>
      </c>
      <c r="H455" s="3"/>
      <c r="I455" s="3"/>
      <c r="J455" s="1" t="s">
        <v>739</v>
      </c>
      <c r="K455" s="2" t="s">
        <v>0</v>
      </c>
      <c r="L455" s="22" t="s">
        <v>653</v>
      </c>
      <c r="M455" s="2" t="s">
        <v>0</v>
      </c>
      <c r="N455" s="1" t="s">
        <v>699</v>
      </c>
      <c r="O455" s="1" t="s">
        <v>931</v>
      </c>
      <c r="P455" s="24" t="s">
        <v>690</v>
      </c>
    </row>
    <row r="456" spans="1:16" ht="24" customHeight="1" x14ac:dyDescent="0.25">
      <c r="A456" s="1" t="s">
        <v>465</v>
      </c>
      <c r="B456" s="1" t="s">
        <v>836</v>
      </c>
      <c r="C456" s="2" t="s">
        <v>0</v>
      </c>
      <c r="D456" s="1" t="s">
        <v>827</v>
      </c>
      <c r="E456" s="2"/>
      <c r="F456" s="22"/>
      <c r="G456" s="4" t="s">
        <v>731</v>
      </c>
      <c r="H456" s="3"/>
      <c r="I456" s="3"/>
      <c r="J456" s="1" t="s">
        <v>740</v>
      </c>
      <c r="K456" s="2" t="s">
        <v>0</v>
      </c>
      <c r="L456" s="22" t="s">
        <v>653</v>
      </c>
      <c r="M456" s="2" t="s">
        <v>0</v>
      </c>
      <c r="N456" s="1" t="s">
        <v>699</v>
      </c>
      <c r="O456" s="1" t="s">
        <v>931</v>
      </c>
      <c r="P456" s="24" t="s">
        <v>690</v>
      </c>
    </row>
    <row r="457" spans="1:16" ht="24" customHeight="1" x14ac:dyDescent="0.25">
      <c r="A457" s="1" t="s">
        <v>466</v>
      </c>
      <c r="B457" s="1" t="s">
        <v>836</v>
      </c>
      <c r="C457" s="2" t="s">
        <v>0</v>
      </c>
      <c r="D457" s="1" t="s">
        <v>700</v>
      </c>
      <c r="E457" s="2"/>
      <c r="F457" s="22"/>
      <c r="G457" s="4" t="s">
        <v>731</v>
      </c>
      <c r="H457" s="3"/>
      <c r="I457" s="3"/>
      <c r="J457" s="1" t="s">
        <v>639</v>
      </c>
      <c r="K457" s="2" t="s">
        <v>0</v>
      </c>
      <c r="L457" s="22" t="s">
        <v>653</v>
      </c>
      <c r="M457" s="2" t="s">
        <v>0</v>
      </c>
      <c r="N457" s="1" t="s">
        <v>699</v>
      </c>
      <c r="O457" s="1" t="s">
        <v>931</v>
      </c>
      <c r="P457" s="24" t="s">
        <v>690</v>
      </c>
    </row>
    <row r="458" spans="1:16" ht="24" customHeight="1" x14ac:dyDescent="0.25">
      <c r="A458" s="1" t="s">
        <v>467</v>
      </c>
      <c r="B458" s="1" t="s">
        <v>836</v>
      </c>
      <c r="C458" s="2" t="s">
        <v>0</v>
      </c>
      <c r="D458" s="1" t="s">
        <v>828</v>
      </c>
      <c r="E458" s="2"/>
      <c r="F458" s="22"/>
      <c r="G458" s="4" t="s">
        <v>731</v>
      </c>
      <c r="H458" s="3"/>
      <c r="I458" s="3"/>
      <c r="J458" s="1" t="s">
        <v>649</v>
      </c>
      <c r="K458" s="2" t="s">
        <v>0</v>
      </c>
      <c r="L458" s="22" t="s">
        <v>653</v>
      </c>
      <c r="M458" s="2" t="s">
        <v>0</v>
      </c>
      <c r="N458" s="1" t="s">
        <v>699</v>
      </c>
      <c r="O458" s="1" t="s">
        <v>931</v>
      </c>
      <c r="P458" s="24" t="s">
        <v>756</v>
      </c>
    </row>
    <row r="459" spans="1:16" ht="24" customHeight="1" x14ac:dyDescent="0.25">
      <c r="A459" s="1" t="s">
        <v>468</v>
      </c>
      <c r="B459" s="1" t="s">
        <v>836</v>
      </c>
      <c r="C459" s="2" t="s">
        <v>0</v>
      </c>
      <c r="D459" s="1" t="s">
        <v>829</v>
      </c>
      <c r="E459" s="2"/>
      <c r="F459" s="22"/>
      <c r="G459" s="4" t="s">
        <v>731</v>
      </c>
      <c r="H459" s="3"/>
      <c r="I459" s="3"/>
      <c r="J459" s="1" t="s">
        <v>723</v>
      </c>
      <c r="K459" s="2" t="s">
        <v>0</v>
      </c>
      <c r="L459" s="22" t="s">
        <v>653</v>
      </c>
      <c r="M459" s="2" t="s">
        <v>0</v>
      </c>
      <c r="N459" s="1" t="s">
        <v>699</v>
      </c>
      <c r="O459" s="1" t="s">
        <v>931</v>
      </c>
      <c r="P459" s="24" t="s">
        <v>690</v>
      </c>
    </row>
    <row r="460" spans="1:16" ht="24" customHeight="1" x14ac:dyDescent="0.25">
      <c r="A460" s="1" t="s">
        <v>469</v>
      </c>
      <c r="B460" s="1" t="s">
        <v>836</v>
      </c>
      <c r="C460" s="2" t="s">
        <v>0</v>
      </c>
      <c r="D460" s="1" t="s">
        <v>830</v>
      </c>
      <c r="E460" s="2"/>
      <c r="F460" s="22"/>
      <c r="G460" s="4" t="s">
        <v>731</v>
      </c>
      <c r="H460" s="1" t="s">
        <v>649</v>
      </c>
      <c r="I460" s="2" t="s">
        <v>0</v>
      </c>
      <c r="J460" s="1" t="s">
        <v>649</v>
      </c>
      <c r="K460" s="2" t="s">
        <v>0</v>
      </c>
      <c r="L460" s="22" t="s">
        <v>653</v>
      </c>
      <c r="M460" s="1" t="s">
        <v>0</v>
      </c>
      <c r="N460" s="1" t="s">
        <v>699</v>
      </c>
      <c r="O460" s="1" t="s">
        <v>931</v>
      </c>
      <c r="P460" s="24" t="s">
        <v>690</v>
      </c>
    </row>
    <row r="461" spans="1:16" ht="24" customHeight="1" x14ac:dyDescent="0.25">
      <c r="A461" s="1" t="s">
        <v>470</v>
      </c>
      <c r="B461" s="1" t="s">
        <v>836</v>
      </c>
      <c r="C461" s="2" t="s">
        <v>0</v>
      </c>
      <c r="D461" s="1" t="s">
        <v>748</v>
      </c>
      <c r="E461" s="2"/>
      <c r="F461" s="22"/>
      <c r="G461" s="4" t="s">
        <v>731</v>
      </c>
      <c r="H461" s="3"/>
      <c r="I461" s="3"/>
      <c r="J461" s="1" t="s">
        <v>653</v>
      </c>
      <c r="K461" s="2" t="s">
        <v>0</v>
      </c>
      <c r="L461" s="22" t="s">
        <v>653</v>
      </c>
      <c r="M461" s="2" t="s">
        <v>0</v>
      </c>
      <c r="N461" s="1" t="s">
        <v>699</v>
      </c>
      <c r="O461" s="1" t="s">
        <v>931</v>
      </c>
      <c r="P461" s="24" t="s">
        <v>703</v>
      </c>
    </row>
    <row r="462" spans="1:16" ht="24" customHeight="1" x14ac:dyDescent="0.25">
      <c r="A462" s="1" t="s">
        <v>471</v>
      </c>
      <c r="B462" s="1" t="s">
        <v>836</v>
      </c>
      <c r="C462" s="2" t="s">
        <v>0</v>
      </c>
      <c r="D462" s="1" t="s">
        <v>749</v>
      </c>
      <c r="E462" s="2"/>
      <c r="F462" s="22"/>
      <c r="G462" s="4" t="s">
        <v>731</v>
      </c>
      <c r="H462" s="3"/>
      <c r="I462" s="3"/>
      <c r="J462" s="1" t="s">
        <v>654</v>
      </c>
      <c r="K462" s="2" t="s">
        <v>0</v>
      </c>
      <c r="L462" s="22" t="s">
        <v>653</v>
      </c>
      <c r="M462" s="2" t="s">
        <v>0</v>
      </c>
      <c r="N462" s="1" t="s">
        <v>699</v>
      </c>
      <c r="O462" s="1" t="s">
        <v>931</v>
      </c>
      <c r="P462" s="24" t="s">
        <v>703</v>
      </c>
    </row>
    <row r="463" spans="1:16" ht="24" customHeight="1" x14ac:dyDescent="0.25">
      <c r="A463" s="1" t="s">
        <v>472</v>
      </c>
      <c r="B463" s="1" t="s">
        <v>652</v>
      </c>
      <c r="C463" s="2" t="s">
        <v>0</v>
      </c>
      <c r="D463" s="1" t="s">
        <v>823</v>
      </c>
      <c r="E463" s="2"/>
      <c r="F463" s="22"/>
      <c r="G463" s="4" t="s">
        <v>731</v>
      </c>
      <c r="H463" s="3"/>
      <c r="I463" s="3"/>
      <c r="J463" s="1" t="s">
        <v>738</v>
      </c>
      <c r="K463" s="2" t="s">
        <v>0</v>
      </c>
      <c r="L463" s="22" t="s">
        <v>654</v>
      </c>
      <c r="M463" s="2"/>
      <c r="N463" s="22"/>
      <c r="O463" s="1" t="s">
        <v>930</v>
      </c>
      <c r="P463" s="24" t="s">
        <v>703</v>
      </c>
    </row>
    <row r="464" spans="1:16" ht="24" customHeight="1" x14ac:dyDescent="0.25">
      <c r="A464" s="1" t="s">
        <v>473</v>
      </c>
      <c r="B464" s="1" t="s">
        <v>652</v>
      </c>
      <c r="C464" s="2" t="s">
        <v>0</v>
      </c>
      <c r="D464" s="1" t="s">
        <v>823</v>
      </c>
      <c r="E464" s="2"/>
      <c r="F464" s="22"/>
      <c r="G464" s="4" t="s">
        <v>731</v>
      </c>
      <c r="H464" s="3"/>
      <c r="I464" s="3"/>
      <c r="J464" s="1" t="s">
        <v>738</v>
      </c>
      <c r="K464" s="2" t="s">
        <v>0</v>
      </c>
      <c r="L464" s="22" t="s">
        <v>639</v>
      </c>
      <c r="M464" s="2" t="s">
        <v>0</v>
      </c>
      <c r="N464" s="22" t="s">
        <v>653</v>
      </c>
      <c r="O464" s="1" t="s">
        <v>931</v>
      </c>
      <c r="P464" s="24" t="s">
        <v>703</v>
      </c>
    </row>
    <row r="465" spans="1:16" ht="24" customHeight="1" x14ac:dyDescent="0.25">
      <c r="A465" s="1" t="s">
        <v>474</v>
      </c>
      <c r="B465" s="1" t="s">
        <v>652</v>
      </c>
      <c r="C465" s="2" t="s">
        <v>0</v>
      </c>
      <c r="D465" s="1" t="s">
        <v>824</v>
      </c>
      <c r="E465" s="2"/>
      <c r="F465" s="22"/>
      <c r="G465" s="4" t="s">
        <v>731</v>
      </c>
      <c r="H465" s="3"/>
      <c r="I465" s="3"/>
      <c r="J465" s="1" t="s">
        <v>688</v>
      </c>
      <c r="K465" s="2" t="s">
        <v>0</v>
      </c>
      <c r="L465" s="22" t="s">
        <v>654</v>
      </c>
      <c r="M465" s="2"/>
      <c r="N465" s="22"/>
      <c r="O465" s="1" t="s">
        <v>930</v>
      </c>
      <c r="P465" s="24" t="s">
        <v>703</v>
      </c>
    </row>
    <row r="466" spans="1:16" ht="24" customHeight="1" x14ac:dyDescent="0.25">
      <c r="A466" s="1" t="s">
        <v>475</v>
      </c>
      <c r="B466" s="1" t="s">
        <v>652</v>
      </c>
      <c r="C466" s="2" t="s">
        <v>0</v>
      </c>
      <c r="D466" s="1" t="s">
        <v>824</v>
      </c>
      <c r="E466" s="2"/>
      <c r="F466" s="22"/>
      <c r="G466" s="4" t="s">
        <v>731</v>
      </c>
      <c r="H466" s="3"/>
      <c r="I466" s="3"/>
      <c r="J466" s="1" t="s">
        <v>688</v>
      </c>
      <c r="K466" s="2" t="s">
        <v>0</v>
      </c>
      <c r="L466" s="22" t="s">
        <v>639</v>
      </c>
      <c r="M466" s="2" t="s">
        <v>0</v>
      </c>
      <c r="N466" s="22" t="s">
        <v>653</v>
      </c>
      <c r="O466" s="1" t="s">
        <v>931</v>
      </c>
      <c r="P466" s="24" t="s">
        <v>703</v>
      </c>
    </row>
    <row r="467" spans="1:16" ht="24" customHeight="1" x14ac:dyDescent="0.25">
      <c r="A467" s="1" t="s">
        <v>476</v>
      </c>
      <c r="B467" s="1" t="s">
        <v>652</v>
      </c>
      <c r="C467" s="2" t="s">
        <v>0</v>
      </c>
      <c r="D467" s="1" t="s">
        <v>826</v>
      </c>
      <c r="E467" s="2"/>
      <c r="F467" s="22"/>
      <c r="G467" s="4" t="s">
        <v>731</v>
      </c>
      <c r="H467" s="3"/>
      <c r="I467" s="3"/>
      <c r="J467" s="1" t="s">
        <v>739</v>
      </c>
      <c r="K467" s="2" t="s">
        <v>0</v>
      </c>
      <c r="L467" s="22" t="s">
        <v>654</v>
      </c>
      <c r="M467" s="2"/>
      <c r="N467" s="22"/>
      <c r="O467" s="1" t="s">
        <v>930</v>
      </c>
      <c r="P467" s="24" t="s">
        <v>703</v>
      </c>
    </row>
    <row r="468" spans="1:16" ht="24" customHeight="1" x14ac:dyDescent="0.25">
      <c r="A468" s="1" t="s">
        <v>477</v>
      </c>
      <c r="B468" s="1" t="s">
        <v>652</v>
      </c>
      <c r="C468" s="2" t="s">
        <v>0</v>
      </c>
      <c r="D468" s="1" t="s">
        <v>826</v>
      </c>
      <c r="E468" s="2"/>
      <c r="F468" s="22"/>
      <c r="G468" s="4" t="s">
        <v>731</v>
      </c>
      <c r="H468" s="3"/>
      <c r="I468" s="3"/>
      <c r="J468" s="1" t="s">
        <v>739</v>
      </c>
      <c r="K468" s="2" t="s">
        <v>0</v>
      </c>
      <c r="L468" s="22" t="s">
        <v>639</v>
      </c>
      <c r="M468" s="2" t="s">
        <v>0</v>
      </c>
      <c r="N468" s="22" t="s">
        <v>653</v>
      </c>
      <c r="O468" s="1" t="s">
        <v>931</v>
      </c>
      <c r="P468" s="24" t="s">
        <v>703</v>
      </c>
    </row>
    <row r="469" spans="1:16" ht="24" customHeight="1" x14ac:dyDescent="0.25">
      <c r="A469" s="1" t="s">
        <v>478</v>
      </c>
      <c r="B469" s="1" t="s">
        <v>652</v>
      </c>
      <c r="C469" s="2" t="s">
        <v>0</v>
      </c>
      <c r="D469" s="1" t="s">
        <v>827</v>
      </c>
      <c r="E469" s="2"/>
      <c r="F469" s="22"/>
      <c r="G469" s="4" t="s">
        <v>731</v>
      </c>
      <c r="H469" s="3"/>
      <c r="I469" s="3"/>
      <c r="J469" s="1" t="s">
        <v>740</v>
      </c>
      <c r="K469" s="2" t="s">
        <v>0</v>
      </c>
      <c r="L469" s="22" t="s">
        <v>654</v>
      </c>
      <c r="M469" s="2"/>
      <c r="N469" s="22"/>
      <c r="O469" s="1" t="s">
        <v>930</v>
      </c>
      <c r="P469" s="24" t="s">
        <v>703</v>
      </c>
    </row>
    <row r="470" spans="1:16" ht="24" customHeight="1" x14ac:dyDescent="0.25">
      <c r="A470" s="1" t="s">
        <v>479</v>
      </c>
      <c r="B470" s="1" t="s">
        <v>652</v>
      </c>
      <c r="C470" s="2" t="s">
        <v>0</v>
      </c>
      <c r="D470" s="1" t="s">
        <v>827</v>
      </c>
      <c r="E470" s="2"/>
      <c r="F470" s="22"/>
      <c r="G470" s="4" t="s">
        <v>731</v>
      </c>
      <c r="H470" s="3"/>
      <c r="I470" s="3"/>
      <c r="J470" s="1" t="s">
        <v>740</v>
      </c>
      <c r="K470" s="2" t="s">
        <v>0</v>
      </c>
      <c r="L470" s="22" t="s">
        <v>639</v>
      </c>
      <c r="M470" s="2" t="s">
        <v>0</v>
      </c>
      <c r="N470" s="22" t="s">
        <v>653</v>
      </c>
      <c r="O470" s="1" t="s">
        <v>931</v>
      </c>
      <c r="P470" s="24" t="s">
        <v>703</v>
      </c>
    </row>
    <row r="471" spans="1:16" ht="24" customHeight="1" x14ac:dyDescent="0.25">
      <c r="A471" s="1" t="s">
        <v>480</v>
      </c>
      <c r="B471" s="1" t="s">
        <v>652</v>
      </c>
      <c r="C471" s="2" t="s">
        <v>0</v>
      </c>
      <c r="D471" s="1" t="s">
        <v>700</v>
      </c>
      <c r="E471" s="2"/>
      <c r="F471" s="22"/>
      <c r="G471" s="4" t="s">
        <v>731</v>
      </c>
      <c r="H471" s="3"/>
      <c r="I471" s="3"/>
      <c r="J471" s="1" t="s">
        <v>639</v>
      </c>
      <c r="K471" s="2" t="s">
        <v>0</v>
      </c>
      <c r="L471" s="22" t="s">
        <v>639</v>
      </c>
      <c r="M471" s="2" t="s">
        <v>0</v>
      </c>
      <c r="N471" s="22" t="s">
        <v>653</v>
      </c>
      <c r="O471" s="1" t="s">
        <v>931</v>
      </c>
      <c r="P471" s="24" t="s">
        <v>703</v>
      </c>
    </row>
    <row r="472" spans="1:16" ht="24" customHeight="1" x14ac:dyDescent="0.25">
      <c r="A472" s="1" t="s">
        <v>481</v>
      </c>
      <c r="B472" s="1" t="s">
        <v>652</v>
      </c>
      <c r="C472" s="2" t="s">
        <v>0</v>
      </c>
      <c r="D472" s="1" t="s">
        <v>700</v>
      </c>
      <c r="E472" s="2"/>
      <c r="F472" s="22"/>
      <c r="G472" s="4" t="s">
        <v>731</v>
      </c>
      <c r="H472" s="3"/>
      <c r="I472" s="3"/>
      <c r="J472" s="1" t="s">
        <v>639</v>
      </c>
      <c r="K472" s="2" t="s">
        <v>0</v>
      </c>
      <c r="L472" s="22" t="s">
        <v>654</v>
      </c>
      <c r="M472" s="2"/>
      <c r="N472" s="22"/>
      <c r="O472" s="1" t="s">
        <v>930</v>
      </c>
      <c r="P472" s="24" t="s">
        <v>703</v>
      </c>
    </row>
    <row r="473" spans="1:16" ht="24" customHeight="1" x14ac:dyDescent="0.25">
      <c r="A473" s="1" t="s">
        <v>482</v>
      </c>
      <c r="B473" s="1" t="s">
        <v>652</v>
      </c>
      <c r="C473" s="2" t="s">
        <v>0</v>
      </c>
      <c r="D473" s="1" t="s">
        <v>828</v>
      </c>
      <c r="E473" s="2"/>
      <c r="F473" s="22"/>
      <c r="G473" s="4" t="s">
        <v>731</v>
      </c>
      <c r="H473" s="3"/>
      <c r="I473" s="3"/>
      <c r="J473" s="1" t="s">
        <v>649</v>
      </c>
      <c r="K473" s="2" t="s">
        <v>0</v>
      </c>
      <c r="L473" s="22" t="s">
        <v>639</v>
      </c>
      <c r="M473" s="2" t="s">
        <v>0</v>
      </c>
      <c r="N473" s="22" t="s">
        <v>653</v>
      </c>
      <c r="O473" s="1" t="s">
        <v>931</v>
      </c>
      <c r="P473" s="24" t="s">
        <v>703</v>
      </c>
    </row>
    <row r="474" spans="1:16" ht="24" customHeight="1" x14ac:dyDescent="0.25">
      <c r="A474" s="1" t="s">
        <v>483</v>
      </c>
      <c r="B474" s="1" t="s">
        <v>652</v>
      </c>
      <c r="C474" s="2" t="s">
        <v>0</v>
      </c>
      <c r="D474" s="1" t="s">
        <v>828</v>
      </c>
      <c r="E474" s="2"/>
      <c r="F474" s="22"/>
      <c r="G474" s="4" t="s">
        <v>731</v>
      </c>
      <c r="H474" s="3"/>
      <c r="I474" s="3"/>
      <c r="J474" s="1" t="s">
        <v>649</v>
      </c>
      <c r="K474" s="2" t="s">
        <v>0</v>
      </c>
      <c r="L474" s="22" t="s">
        <v>654</v>
      </c>
      <c r="M474" s="2"/>
      <c r="N474" s="22"/>
      <c r="O474" s="1" t="s">
        <v>930</v>
      </c>
      <c r="P474" s="24" t="s">
        <v>703</v>
      </c>
    </row>
    <row r="475" spans="1:16" ht="24" customHeight="1" x14ac:dyDescent="0.25">
      <c r="A475" s="1" t="s">
        <v>484</v>
      </c>
      <c r="B475" s="1" t="s">
        <v>652</v>
      </c>
      <c r="C475" s="2" t="s">
        <v>0</v>
      </c>
      <c r="D475" s="1" t="s">
        <v>829</v>
      </c>
      <c r="E475" s="2"/>
      <c r="F475" s="22"/>
      <c r="G475" s="4" t="s">
        <v>731</v>
      </c>
      <c r="H475" s="3"/>
      <c r="I475" s="3"/>
      <c r="J475" s="1" t="s">
        <v>723</v>
      </c>
      <c r="K475" s="2" t="s">
        <v>0</v>
      </c>
      <c r="L475" s="22" t="s">
        <v>639</v>
      </c>
      <c r="M475" s="2" t="s">
        <v>0</v>
      </c>
      <c r="N475" s="22" t="s">
        <v>653</v>
      </c>
      <c r="O475" s="1" t="s">
        <v>931</v>
      </c>
      <c r="P475" s="24" t="s">
        <v>703</v>
      </c>
    </row>
    <row r="476" spans="1:16" ht="24" customHeight="1" x14ac:dyDescent="0.25">
      <c r="A476" s="1" t="s">
        <v>485</v>
      </c>
      <c r="B476" s="1" t="s">
        <v>652</v>
      </c>
      <c r="C476" s="2" t="s">
        <v>0</v>
      </c>
      <c r="D476" s="1" t="s">
        <v>829</v>
      </c>
      <c r="E476" s="2"/>
      <c r="F476" s="22"/>
      <c r="G476" s="4" t="s">
        <v>731</v>
      </c>
      <c r="H476" s="3"/>
      <c r="I476" s="3"/>
      <c r="J476" s="1" t="s">
        <v>723</v>
      </c>
      <c r="K476" s="2" t="s">
        <v>0</v>
      </c>
      <c r="L476" s="22" t="s">
        <v>654</v>
      </c>
      <c r="M476" s="2"/>
      <c r="N476" s="22"/>
      <c r="O476" s="1" t="s">
        <v>930</v>
      </c>
      <c r="P476" s="24" t="s">
        <v>703</v>
      </c>
    </row>
    <row r="477" spans="1:16" ht="24" customHeight="1" x14ac:dyDescent="0.25">
      <c r="A477" s="1" t="s">
        <v>486</v>
      </c>
      <c r="B477" s="1" t="s">
        <v>652</v>
      </c>
      <c r="C477" s="2" t="s">
        <v>0</v>
      </c>
      <c r="D477" s="1" t="s">
        <v>830</v>
      </c>
      <c r="E477" s="2"/>
      <c r="F477" s="22"/>
      <c r="G477" s="4" t="s">
        <v>731</v>
      </c>
      <c r="H477" s="3"/>
      <c r="I477" s="3"/>
      <c r="J477" s="1" t="s">
        <v>649</v>
      </c>
      <c r="K477" s="2" t="s">
        <v>0</v>
      </c>
      <c r="L477" s="1" t="s">
        <v>649</v>
      </c>
      <c r="M477" s="2" t="s">
        <v>0</v>
      </c>
      <c r="N477" s="22" t="s">
        <v>654</v>
      </c>
      <c r="O477" s="1" t="s">
        <v>931</v>
      </c>
      <c r="P477" s="24" t="s">
        <v>703</v>
      </c>
    </row>
    <row r="478" spans="1:16" ht="24" customHeight="1" x14ac:dyDescent="0.25">
      <c r="A478" s="1" t="s">
        <v>487</v>
      </c>
      <c r="B478" s="1" t="s">
        <v>652</v>
      </c>
      <c r="C478" s="2" t="s">
        <v>0</v>
      </c>
      <c r="D478" s="1" t="s">
        <v>748</v>
      </c>
      <c r="E478" s="2"/>
      <c r="F478" s="22"/>
      <c r="G478" s="4" t="s">
        <v>731</v>
      </c>
      <c r="H478" s="3"/>
      <c r="I478" s="3"/>
      <c r="J478" s="1" t="s">
        <v>653</v>
      </c>
      <c r="K478" s="2" t="s">
        <v>0</v>
      </c>
      <c r="L478" s="22" t="s">
        <v>654</v>
      </c>
      <c r="M478" s="2"/>
      <c r="N478" s="22"/>
      <c r="O478" s="1" t="s">
        <v>930</v>
      </c>
      <c r="P478" s="24" t="s">
        <v>703</v>
      </c>
    </row>
    <row r="479" spans="1:16" ht="24" customHeight="1" x14ac:dyDescent="0.25">
      <c r="A479" s="1" t="s">
        <v>488</v>
      </c>
      <c r="B479" s="1" t="s">
        <v>652</v>
      </c>
      <c r="C479" s="2" t="s">
        <v>0</v>
      </c>
      <c r="D479" s="1" t="s">
        <v>748</v>
      </c>
      <c r="E479" s="2"/>
      <c r="F479" s="22"/>
      <c r="G479" s="4" t="s">
        <v>731</v>
      </c>
      <c r="H479" s="3"/>
      <c r="I479" s="3"/>
      <c r="J479" s="1" t="s">
        <v>653</v>
      </c>
      <c r="K479" s="2" t="s">
        <v>0</v>
      </c>
      <c r="L479" s="22" t="s">
        <v>639</v>
      </c>
      <c r="M479" s="2" t="s">
        <v>0</v>
      </c>
      <c r="N479" s="22" t="s">
        <v>653</v>
      </c>
      <c r="O479" s="1" t="s">
        <v>931</v>
      </c>
      <c r="P479" s="24" t="s">
        <v>703</v>
      </c>
    </row>
    <row r="480" spans="1:16" ht="24" customHeight="1" x14ac:dyDescent="0.25">
      <c r="A480" s="1" t="s">
        <v>489</v>
      </c>
      <c r="B480" s="1" t="s">
        <v>652</v>
      </c>
      <c r="C480" s="2" t="s">
        <v>0</v>
      </c>
      <c r="D480" s="1" t="s">
        <v>749</v>
      </c>
      <c r="E480" s="2"/>
      <c r="F480" s="22"/>
      <c r="G480" s="4" t="s">
        <v>731</v>
      </c>
      <c r="H480" s="3"/>
      <c r="I480" s="3"/>
      <c r="J480" s="1" t="s">
        <v>654</v>
      </c>
      <c r="K480" s="2" t="s">
        <v>0</v>
      </c>
      <c r="L480" s="22" t="s">
        <v>654</v>
      </c>
      <c r="M480" s="2"/>
      <c r="N480" s="22"/>
      <c r="O480" s="1" t="s">
        <v>930</v>
      </c>
      <c r="P480" s="24" t="s">
        <v>703</v>
      </c>
    </row>
    <row r="481" spans="1:16" ht="24" customHeight="1" x14ac:dyDescent="0.25">
      <c r="A481" s="1" t="s">
        <v>490</v>
      </c>
      <c r="B481" s="1" t="s">
        <v>652</v>
      </c>
      <c r="C481" s="2" t="s">
        <v>0</v>
      </c>
      <c r="D481" s="1" t="s">
        <v>749</v>
      </c>
      <c r="E481" s="2"/>
      <c r="F481" s="22"/>
      <c r="G481" s="4" t="s">
        <v>731</v>
      </c>
      <c r="H481" s="3"/>
      <c r="I481" s="3"/>
      <c r="J481" s="1" t="s">
        <v>654</v>
      </c>
      <c r="K481" s="2" t="s">
        <v>0</v>
      </c>
      <c r="L481" s="22" t="s">
        <v>639</v>
      </c>
      <c r="M481" s="2" t="s">
        <v>0</v>
      </c>
      <c r="N481" s="22" t="s">
        <v>653</v>
      </c>
      <c r="O481" s="1" t="s">
        <v>931</v>
      </c>
      <c r="P481" s="24" t="s">
        <v>703</v>
      </c>
    </row>
    <row r="482" spans="1:16" ht="24" customHeight="1" x14ac:dyDescent="0.25">
      <c r="A482" s="1" t="s">
        <v>491</v>
      </c>
      <c r="B482" s="1" t="s">
        <v>696</v>
      </c>
      <c r="C482" s="2" t="s">
        <v>0</v>
      </c>
      <c r="D482" s="1" t="s">
        <v>823</v>
      </c>
      <c r="E482" s="2"/>
      <c r="F482" s="22"/>
      <c r="G482" s="4" t="s">
        <v>731</v>
      </c>
      <c r="H482" s="3"/>
      <c r="I482" s="3"/>
      <c r="J482" s="1" t="s">
        <v>738</v>
      </c>
      <c r="K482" s="2" t="s">
        <v>0</v>
      </c>
      <c r="L482" s="22" t="s">
        <v>812</v>
      </c>
      <c r="M482" s="2"/>
      <c r="N482" s="22"/>
      <c r="O482" s="1" t="s">
        <v>930</v>
      </c>
      <c r="P482" s="24" t="s">
        <v>703</v>
      </c>
    </row>
    <row r="483" spans="1:16" ht="24" customHeight="1" x14ac:dyDescent="0.25">
      <c r="A483" s="1" t="s">
        <v>492</v>
      </c>
      <c r="B483" s="1" t="s">
        <v>696</v>
      </c>
      <c r="C483" s="2" t="s">
        <v>0</v>
      </c>
      <c r="D483" s="1" t="s">
        <v>823</v>
      </c>
      <c r="E483" s="2"/>
      <c r="F483" s="22"/>
      <c r="G483" s="4" t="s">
        <v>731</v>
      </c>
      <c r="H483" s="3"/>
      <c r="I483" s="3"/>
      <c r="J483" s="1" t="s">
        <v>738</v>
      </c>
      <c r="K483" s="2" t="s">
        <v>0</v>
      </c>
      <c r="L483" s="22" t="s">
        <v>654</v>
      </c>
      <c r="M483" s="2" t="s">
        <v>0</v>
      </c>
      <c r="N483" s="22" t="s">
        <v>653</v>
      </c>
      <c r="O483" s="1" t="s">
        <v>931</v>
      </c>
      <c r="P483" s="24" t="s">
        <v>703</v>
      </c>
    </row>
    <row r="484" spans="1:16" ht="24" customHeight="1" x14ac:dyDescent="0.25">
      <c r="A484" s="1" t="s">
        <v>493</v>
      </c>
      <c r="B484" s="1" t="s">
        <v>696</v>
      </c>
      <c r="C484" s="2" t="s">
        <v>0</v>
      </c>
      <c r="D484" s="1" t="s">
        <v>824</v>
      </c>
      <c r="E484" s="2"/>
      <c r="F484" s="22"/>
      <c r="G484" s="4" t="s">
        <v>731</v>
      </c>
      <c r="H484" s="3"/>
      <c r="I484" s="3"/>
      <c r="J484" s="1" t="s">
        <v>817</v>
      </c>
      <c r="K484" s="2" t="s">
        <v>0</v>
      </c>
      <c r="L484" s="22" t="s">
        <v>812</v>
      </c>
      <c r="M484" s="2"/>
      <c r="N484" s="22"/>
      <c r="O484" s="1" t="s">
        <v>930</v>
      </c>
      <c r="P484" s="24" t="s">
        <v>703</v>
      </c>
    </row>
    <row r="485" spans="1:16" ht="24" customHeight="1" x14ac:dyDescent="0.25">
      <c r="A485" s="1" t="s">
        <v>494</v>
      </c>
      <c r="B485" s="1" t="s">
        <v>696</v>
      </c>
      <c r="C485" s="2" t="s">
        <v>0</v>
      </c>
      <c r="D485" s="1" t="s">
        <v>824</v>
      </c>
      <c r="E485" s="2"/>
      <c r="F485" s="22"/>
      <c r="G485" s="4" t="s">
        <v>731</v>
      </c>
      <c r="H485" s="3"/>
      <c r="I485" s="3"/>
      <c r="J485" s="1" t="s">
        <v>817</v>
      </c>
      <c r="K485" s="2" t="s">
        <v>0</v>
      </c>
      <c r="L485" s="22" t="s">
        <v>654</v>
      </c>
      <c r="M485" s="2" t="s">
        <v>0</v>
      </c>
      <c r="N485" s="22" t="s">
        <v>653</v>
      </c>
      <c r="O485" s="1" t="s">
        <v>931</v>
      </c>
      <c r="P485" s="24" t="s">
        <v>703</v>
      </c>
    </row>
    <row r="486" spans="1:16" ht="24" customHeight="1" x14ac:dyDescent="0.25">
      <c r="A486" s="1" t="s">
        <v>495</v>
      </c>
      <c r="B486" s="1" t="s">
        <v>696</v>
      </c>
      <c r="C486" s="2" t="s">
        <v>0</v>
      </c>
      <c r="D486" s="1" t="s">
        <v>826</v>
      </c>
      <c r="E486" s="2"/>
      <c r="F486" s="22"/>
      <c r="G486" s="4" t="s">
        <v>731</v>
      </c>
      <c r="H486" s="3"/>
      <c r="I486" s="3"/>
      <c r="J486" s="1" t="s">
        <v>739</v>
      </c>
      <c r="K486" s="2" t="s">
        <v>0</v>
      </c>
      <c r="L486" s="22" t="s">
        <v>812</v>
      </c>
      <c r="M486" s="2"/>
      <c r="N486" s="22"/>
      <c r="O486" s="1" t="s">
        <v>930</v>
      </c>
      <c r="P486" s="24" t="s">
        <v>703</v>
      </c>
    </row>
    <row r="487" spans="1:16" ht="24" customHeight="1" x14ac:dyDescent="0.25">
      <c r="A487" s="1" t="s">
        <v>496</v>
      </c>
      <c r="B487" s="1" t="s">
        <v>696</v>
      </c>
      <c r="C487" s="2" t="s">
        <v>0</v>
      </c>
      <c r="D487" s="1" t="s">
        <v>826</v>
      </c>
      <c r="E487" s="2"/>
      <c r="F487" s="22"/>
      <c r="G487" s="4" t="s">
        <v>731</v>
      </c>
      <c r="H487" s="3"/>
      <c r="I487" s="3"/>
      <c r="J487" s="1" t="s">
        <v>739</v>
      </c>
      <c r="K487" s="2" t="s">
        <v>0</v>
      </c>
      <c r="L487" s="22" t="s">
        <v>654</v>
      </c>
      <c r="M487" s="2" t="s">
        <v>0</v>
      </c>
      <c r="N487" s="22" t="s">
        <v>653</v>
      </c>
      <c r="O487" s="1" t="s">
        <v>931</v>
      </c>
      <c r="P487" s="24" t="s">
        <v>703</v>
      </c>
    </row>
    <row r="488" spans="1:16" ht="24" customHeight="1" x14ac:dyDescent="0.25">
      <c r="A488" s="1" t="s">
        <v>497</v>
      </c>
      <c r="B488" s="1" t="s">
        <v>696</v>
      </c>
      <c r="C488" s="2" t="s">
        <v>0</v>
      </c>
      <c r="D488" s="1" t="s">
        <v>827</v>
      </c>
      <c r="E488" s="2"/>
      <c r="F488" s="22"/>
      <c r="G488" s="4" t="s">
        <v>731</v>
      </c>
      <c r="H488" s="3"/>
      <c r="I488" s="3"/>
      <c r="J488" s="1" t="s">
        <v>740</v>
      </c>
      <c r="K488" s="2" t="s">
        <v>0</v>
      </c>
      <c r="L488" s="22" t="s">
        <v>812</v>
      </c>
      <c r="M488" s="2"/>
      <c r="N488" s="22"/>
      <c r="O488" s="1" t="s">
        <v>930</v>
      </c>
      <c r="P488" s="24" t="s">
        <v>703</v>
      </c>
    </row>
    <row r="489" spans="1:16" ht="24" customHeight="1" x14ac:dyDescent="0.25">
      <c r="A489" s="1" t="s">
        <v>498</v>
      </c>
      <c r="B489" s="1" t="s">
        <v>696</v>
      </c>
      <c r="C489" s="2" t="s">
        <v>0</v>
      </c>
      <c r="D489" s="1" t="s">
        <v>827</v>
      </c>
      <c r="E489" s="2"/>
      <c r="F489" s="22"/>
      <c r="G489" s="4" t="s">
        <v>731</v>
      </c>
      <c r="H489" s="3"/>
      <c r="I489" s="3"/>
      <c r="J489" s="1" t="s">
        <v>740</v>
      </c>
      <c r="K489" s="2" t="s">
        <v>0</v>
      </c>
      <c r="L489" s="22" t="s">
        <v>654</v>
      </c>
      <c r="M489" s="2" t="s">
        <v>0</v>
      </c>
      <c r="N489" s="22" t="s">
        <v>653</v>
      </c>
      <c r="O489" s="1" t="s">
        <v>931</v>
      </c>
      <c r="P489" s="24" t="s">
        <v>703</v>
      </c>
    </row>
    <row r="490" spans="1:16" ht="24" customHeight="1" x14ac:dyDescent="0.25">
      <c r="A490" s="1" t="s">
        <v>499</v>
      </c>
      <c r="B490" s="1" t="s">
        <v>696</v>
      </c>
      <c r="C490" s="2" t="s">
        <v>0</v>
      </c>
      <c r="D490" s="1" t="s">
        <v>700</v>
      </c>
      <c r="E490" s="2"/>
      <c r="F490" s="22"/>
      <c r="G490" s="4" t="s">
        <v>731</v>
      </c>
      <c r="H490" s="3"/>
      <c r="I490" s="3"/>
      <c r="J490" s="1" t="s">
        <v>639</v>
      </c>
      <c r="K490" s="2" t="s">
        <v>0</v>
      </c>
      <c r="L490" s="22" t="s">
        <v>654</v>
      </c>
      <c r="M490" s="2" t="s">
        <v>0</v>
      </c>
      <c r="N490" s="22" t="s">
        <v>653</v>
      </c>
      <c r="O490" s="1" t="s">
        <v>931</v>
      </c>
      <c r="P490" s="24" t="s">
        <v>703</v>
      </c>
    </row>
    <row r="491" spans="1:16" ht="24" customHeight="1" x14ac:dyDescent="0.25">
      <c r="A491" s="1" t="s">
        <v>500</v>
      </c>
      <c r="B491" s="1" t="s">
        <v>696</v>
      </c>
      <c r="C491" s="2" t="s">
        <v>0</v>
      </c>
      <c r="D491" s="1" t="s">
        <v>700</v>
      </c>
      <c r="E491" s="2"/>
      <c r="F491" s="22"/>
      <c r="G491" s="4" t="s">
        <v>731</v>
      </c>
      <c r="H491" s="3"/>
      <c r="I491" s="3"/>
      <c r="J491" s="1" t="s">
        <v>639</v>
      </c>
      <c r="K491" s="2" t="s">
        <v>0</v>
      </c>
      <c r="L491" s="22" t="s">
        <v>812</v>
      </c>
      <c r="M491" s="2"/>
      <c r="N491" s="22"/>
      <c r="O491" s="1" t="s">
        <v>930</v>
      </c>
      <c r="P491" s="24" t="s">
        <v>703</v>
      </c>
    </row>
    <row r="492" spans="1:16" ht="24" customHeight="1" x14ac:dyDescent="0.25">
      <c r="A492" s="1" t="s">
        <v>501</v>
      </c>
      <c r="B492" s="1" t="s">
        <v>696</v>
      </c>
      <c r="C492" s="2" t="s">
        <v>0</v>
      </c>
      <c r="D492" s="1" t="s">
        <v>828</v>
      </c>
      <c r="E492" s="2"/>
      <c r="F492" s="22"/>
      <c r="G492" s="4" t="s">
        <v>731</v>
      </c>
      <c r="H492" s="3"/>
      <c r="I492" s="3"/>
      <c r="J492" s="1" t="s">
        <v>649</v>
      </c>
      <c r="K492" s="2" t="s">
        <v>0</v>
      </c>
      <c r="L492" s="22" t="s">
        <v>654</v>
      </c>
      <c r="M492" s="2" t="s">
        <v>0</v>
      </c>
      <c r="N492" s="22" t="s">
        <v>653</v>
      </c>
      <c r="O492" s="1" t="s">
        <v>931</v>
      </c>
      <c r="P492" s="24" t="s">
        <v>703</v>
      </c>
    </row>
    <row r="493" spans="1:16" ht="24" customHeight="1" x14ac:dyDescent="0.25">
      <c r="A493" s="1" t="s">
        <v>502</v>
      </c>
      <c r="B493" s="1" t="s">
        <v>696</v>
      </c>
      <c r="C493" s="2" t="s">
        <v>0</v>
      </c>
      <c r="D493" s="1" t="s">
        <v>828</v>
      </c>
      <c r="E493" s="2"/>
      <c r="F493" s="22"/>
      <c r="G493" s="4" t="s">
        <v>731</v>
      </c>
      <c r="H493" s="3"/>
      <c r="I493" s="3"/>
      <c r="J493" s="1" t="s">
        <v>649</v>
      </c>
      <c r="K493" s="2" t="s">
        <v>0</v>
      </c>
      <c r="L493" s="22" t="s">
        <v>812</v>
      </c>
      <c r="M493" s="2"/>
      <c r="N493" s="22"/>
      <c r="O493" s="1" t="s">
        <v>930</v>
      </c>
      <c r="P493" s="24" t="s">
        <v>703</v>
      </c>
    </row>
    <row r="494" spans="1:16" ht="24" customHeight="1" x14ac:dyDescent="0.25">
      <c r="A494" s="1" t="s">
        <v>503</v>
      </c>
      <c r="B494" s="1" t="s">
        <v>696</v>
      </c>
      <c r="C494" s="2" t="s">
        <v>0</v>
      </c>
      <c r="D494" s="1" t="s">
        <v>829</v>
      </c>
      <c r="E494" s="2"/>
      <c r="F494" s="22"/>
      <c r="G494" s="4" t="s">
        <v>731</v>
      </c>
      <c r="H494" s="3"/>
      <c r="I494" s="3"/>
      <c r="J494" s="1" t="s">
        <v>723</v>
      </c>
      <c r="K494" s="2" t="s">
        <v>0</v>
      </c>
      <c r="L494" s="22" t="s">
        <v>654</v>
      </c>
      <c r="M494" s="2" t="s">
        <v>0</v>
      </c>
      <c r="N494" s="22" t="s">
        <v>653</v>
      </c>
      <c r="O494" s="1" t="s">
        <v>931</v>
      </c>
      <c r="P494" s="24" t="s">
        <v>703</v>
      </c>
    </row>
    <row r="495" spans="1:16" ht="24" customHeight="1" x14ac:dyDescent="0.25">
      <c r="A495" s="1" t="s">
        <v>504</v>
      </c>
      <c r="B495" s="1" t="s">
        <v>696</v>
      </c>
      <c r="C495" s="2" t="s">
        <v>0</v>
      </c>
      <c r="D495" s="1" t="s">
        <v>829</v>
      </c>
      <c r="E495" s="2"/>
      <c r="F495" s="22"/>
      <c r="G495" s="4" t="s">
        <v>731</v>
      </c>
      <c r="H495" s="3"/>
      <c r="I495" s="3"/>
      <c r="J495" s="1" t="s">
        <v>723</v>
      </c>
      <c r="K495" s="2" t="s">
        <v>0</v>
      </c>
      <c r="L495" s="22" t="s">
        <v>812</v>
      </c>
      <c r="M495" s="2"/>
      <c r="N495" s="22"/>
      <c r="O495" s="1" t="s">
        <v>930</v>
      </c>
      <c r="P495" s="24" t="s">
        <v>703</v>
      </c>
    </row>
    <row r="496" spans="1:16" ht="24" customHeight="1" x14ac:dyDescent="0.25">
      <c r="A496" s="1" t="s">
        <v>505</v>
      </c>
      <c r="B496" s="1" t="s">
        <v>696</v>
      </c>
      <c r="C496" s="2" t="s">
        <v>0</v>
      </c>
      <c r="D496" s="1" t="s">
        <v>830</v>
      </c>
      <c r="E496" s="2"/>
      <c r="F496" s="22"/>
      <c r="G496" s="4" t="s">
        <v>731</v>
      </c>
      <c r="H496" s="3"/>
      <c r="I496" s="3"/>
      <c r="J496" s="1" t="s">
        <v>649</v>
      </c>
      <c r="K496" s="2" t="s">
        <v>0</v>
      </c>
      <c r="L496" s="1" t="s">
        <v>649</v>
      </c>
      <c r="M496" s="2" t="s">
        <v>0</v>
      </c>
      <c r="N496" s="22" t="s">
        <v>812</v>
      </c>
      <c r="O496" s="1" t="s">
        <v>931</v>
      </c>
      <c r="P496" s="24" t="s">
        <v>703</v>
      </c>
    </row>
    <row r="497" spans="1:16" ht="24" customHeight="1" x14ac:dyDescent="0.25">
      <c r="A497" s="1" t="s">
        <v>506</v>
      </c>
      <c r="B497" s="1" t="s">
        <v>696</v>
      </c>
      <c r="C497" s="2" t="s">
        <v>0</v>
      </c>
      <c r="D497" s="1" t="s">
        <v>748</v>
      </c>
      <c r="E497" s="2"/>
      <c r="F497" s="22"/>
      <c r="G497" s="4" t="s">
        <v>731</v>
      </c>
      <c r="H497" s="3"/>
      <c r="I497" s="3"/>
      <c r="J497" s="1" t="s">
        <v>653</v>
      </c>
      <c r="K497" s="2" t="s">
        <v>0</v>
      </c>
      <c r="L497" s="22" t="s">
        <v>812</v>
      </c>
      <c r="M497" s="2"/>
      <c r="N497" s="22"/>
      <c r="O497" s="1" t="s">
        <v>930</v>
      </c>
      <c r="P497" s="24" t="s">
        <v>703</v>
      </c>
    </row>
    <row r="498" spans="1:16" ht="24" customHeight="1" x14ac:dyDescent="0.25">
      <c r="A498" s="1" t="s">
        <v>507</v>
      </c>
      <c r="B498" s="1" t="s">
        <v>696</v>
      </c>
      <c r="C498" s="2" t="s">
        <v>0</v>
      </c>
      <c r="D498" s="1" t="s">
        <v>748</v>
      </c>
      <c r="E498" s="2"/>
      <c r="F498" s="22"/>
      <c r="G498" s="4" t="s">
        <v>731</v>
      </c>
      <c r="H498" s="3"/>
      <c r="I498" s="3"/>
      <c r="J498" s="1" t="s">
        <v>653</v>
      </c>
      <c r="K498" s="2" t="s">
        <v>0</v>
      </c>
      <c r="L498" s="22" t="s">
        <v>654</v>
      </c>
      <c r="M498" s="2" t="s">
        <v>0</v>
      </c>
      <c r="N498" s="22" t="s">
        <v>653</v>
      </c>
      <c r="O498" s="1" t="s">
        <v>931</v>
      </c>
      <c r="P498" s="24" t="s">
        <v>703</v>
      </c>
    </row>
    <row r="499" spans="1:16" ht="24" customHeight="1" x14ac:dyDescent="0.25">
      <c r="A499" s="1" t="s">
        <v>508</v>
      </c>
      <c r="B499" s="1" t="s">
        <v>696</v>
      </c>
      <c r="C499" s="2" t="s">
        <v>0</v>
      </c>
      <c r="D499" s="1" t="s">
        <v>749</v>
      </c>
      <c r="E499" s="2"/>
      <c r="F499" s="22"/>
      <c r="G499" s="4" t="s">
        <v>731</v>
      </c>
      <c r="H499" s="3"/>
      <c r="I499" s="3"/>
      <c r="J499" s="1" t="s">
        <v>654</v>
      </c>
      <c r="K499" s="2" t="s">
        <v>0</v>
      </c>
      <c r="L499" s="22" t="s">
        <v>812</v>
      </c>
      <c r="M499" s="2"/>
      <c r="N499" s="22"/>
      <c r="O499" s="1" t="s">
        <v>930</v>
      </c>
      <c r="P499" s="24" t="s">
        <v>703</v>
      </c>
    </row>
    <row r="500" spans="1:16" ht="24" customHeight="1" x14ac:dyDescent="0.25">
      <c r="A500" s="1" t="s">
        <v>509</v>
      </c>
      <c r="B500" s="1" t="s">
        <v>696</v>
      </c>
      <c r="C500" s="2" t="s">
        <v>0</v>
      </c>
      <c r="D500" s="1" t="s">
        <v>749</v>
      </c>
      <c r="E500" s="2"/>
      <c r="F500" s="22"/>
      <c r="G500" s="4" t="s">
        <v>731</v>
      </c>
      <c r="H500" s="3"/>
      <c r="I500" s="3"/>
      <c r="J500" s="1" t="s">
        <v>654</v>
      </c>
      <c r="K500" s="2" t="s">
        <v>0</v>
      </c>
      <c r="L500" s="22" t="s">
        <v>654</v>
      </c>
      <c r="M500" s="2" t="s">
        <v>0</v>
      </c>
      <c r="N500" s="22" t="s">
        <v>653</v>
      </c>
      <c r="O500" s="1" t="s">
        <v>931</v>
      </c>
      <c r="P500" s="24" t="s">
        <v>703</v>
      </c>
    </row>
    <row r="501" spans="1:16" ht="24" customHeight="1" x14ac:dyDescent="0.25">
      <c r="A501" s="1" t="s">
        <v>510</v>
      </c>
      <c r="B501" s="1" t="s">
        <v>697</v>
      </c>
      <c r="C501" s="2" t="s">
        <v>0</v>
      </c>
      <c r="D501" s="1" t="s">
        <v>823</v>
      </c>
      <c r="E501" s="2"/>
      <c r="F501" s="22"/>
      <c r="G501" s="4" t="s">
        <v>731</v>
      </c>
      <c r="H501" s="3"/>
      <c r="I501" s="3"/>
      <c r="J501" s="1" t="s">
        <v>738</v>
      </c>
      <c r="K501" s="2" t="s">
        <v>0</v>
      </c>
      <c r="L501" s="22" t="s">
        <v>812</v>
      </c>
      <c r="M501" s="2" t="s">
        <v>0</v>
      </c>
      <c r="N501" s="22" t="s">
        <v>653</v>
      </c>
      <c r="O501" s="1" t="s">
        <v>931</v>
      </c>
      <c r="P501" s="24" t="s">
        <v>703</v>
      </c>
    </row>
    <row r="502" spans="1:16" ht="24" customHeight="1" x14ac:dyDescent="0.25">
      <c r="A502" s="1" t="s">
        <v>511</v>
      </c>
      <c r="B502" s="1" t="s">
        <v>697</v>
      </c>
      <c r="C502" s="2" t="s">
        <v>0</v>
      </c>
      <c r="D502" s="1" t="s">
        <v>824</v>
      </c>
      <c r="E502" s="2"/>
      <c r="F502" s="22"/>
      <c r="G502" s="4" t="s">
        <v>731</v>
      </c>
      <c r="H502" s="3"/>
      <c r="I502" s="3"/>
      <c r="J502" s="1" t="s">
        <v>817</v>
      </c>
      <c r="K502" s="2" t="s">
        <v>0</v>
      </c>
      <c r="L502" s="22" t="s">
        <v>812</v>
      </c>
      <c r="M502" s="2" t="s">
        <v>0</v>
      </c>
      <c r="N502" s="22" t="s">
        <v>653</v>
      </c>
      <c r="O502" s="1" t="s">
        <v>931</v>
      </c>
      <c r="P502" s="24" t="s">
        <v>703</v>
      </c>
    </row>
    <row r="503" spans="1:16" ht="24" customHeight="1" x14ac:dyDescent="0.25">
      <c r="A503" s="1" t="s">
        <v>512</v>
      </c>
      <c r="B503" s="1" t="s">
        <v>697</v>
      </c>
      <c r="C503" s="2" t="s">
        <v>0</v>
      </c>
      <c r="D503" s="1" t="s">
        <v>826</v>
      </c>
      <c r="E503" s="2"/>
      <c r="F503" s="22"/>
      <c r="G503" s="4" t="s">
        <v>731</v>
      </c>
      <c r="H503" s="3"/>
      <c r="I503" s="3"/>
      <c r="J503" s="1" t="s">
        <v>739</v>
      </c>
      <c r="K503" s="2" t="s">
        <v>0</v>
      </c>
      <c r="L503" s="22" t="s">
        <v>812</v>
      </c>
      <c r="M503" s="2" t="s">
        <v>0</v>
      </c>
      <c r="N503" s="22" t="s">
        <v>653</v>
      </c>
      <c r="O503" s="1" t="s">
        <v>931</v>
      </c>
      <c r="P503" s="24" t="s">
        <v>703</v>
      </c>
    </row>
    <row r="504" spans="1:16" ht="24" customHeight="1" x14ac:dyDescent="0.25">
      <c r="A504" s="1" t="s">
        <v>513</v>
      </c>
      <c r="B504" s="1" t="s">
        <v>697</v>
      </c>
      <c r="C504" s="2" t="s">
        <v>0</v>
      </c>
      <c r="D504" s="1" t="s">
        <v>827</v>
      </c>
      <c r="E504" s="2"/>
      <c r="F504" s="22"/>
      <c r="G504" s="4" t="s">
        <v>731</v>
      </c>
      <c r="H504" s="3"/>
      <c r="I504" s="3"/>
      <c r="J504" s="1" t="s">
        <v>740</v>
      </c>
      <c r="K504" s="2" t="s">
        <v>0</v>
      </c>
      <c r="L504" s="22" t="s">
        <v>812</v>
      </c>
      <c r="M504" s="2" t="s">
        <v>0</v>
      </c>
      <c r="N504" s="22" t="s">
        <v>653</v>
      </c>
      <c r="O504" s="1" t="s">
        <v>931</v>
      </c>
      <c r="P504" s="24" t="s">
        <v>703</v>
      </c>
    </row>
    <row r="505" spans="1:16" ht="24" customHeight="1" x14ac:dyDescent="0.25">
      <c r="A505" s="1" t="s">
        <v>514</v>
      </c>
      <c r="B505" s="1" t="s">
        <v>697</v>
      </c>
      <c r="C505" s="2" t="s">
        <v>0</v>
      </c>
      <c r="D505" s="1" t="s">
        <v>700</v>
      </c>
      <c r="E505" s="2"/>
      <c r="F505" s="22"/>
      <c r="G505" s="4" t="s">
        <v>731</v>
      </c>
      <c r="H505" s="3"/>
      <c r="I505" s="3"/>
      <c r="J505" s="1" t="s">
        <v>639</v>
      </c>
      <c r="K505" s="2" t="s">
        <v>0</v>
      </c>
      <c r="L505" s="22" t="s">
        <v>812</v>
      </c>
      <c r="M505" s="2" t="s">
        <v>0</v>
      </c>
      <c r="N505" s="22" t="s">
        <v>653</v>
      </c>
      <c r="O505" s="1" t="s">
        <v>931</v>
      </c>
      <c r="P505" s="24" t="s">
        <v>703</v>
      </c>
    </row>
    <row r="506" spans="1:16" ht="24" customHeight="1" x14ac:dyDescent="0.25">
      <c r="A506" s="1" t="s">
        <v>515</v>
      </c>
      <c r="B506" s="1" t="s">
        <v>697</v>
      </c>
      <c r="C506" s="2" t="s">
        <v>0</v>
      </c>
      <c r="D506" s="1" t="s">
        <v>828</v>
      </c>
      <c r="E506" s="2"/>
      <c r="F506" s="22"/>
      <c r="G506" s="4" t="s">
        <v>731</v>
      </c>
      <c r="H506" s="3"/>
      <c r="I506" s="3"/>
      <c r="J506" s="1" t="s">
        <v>649</v>
      </c>
      <c r="K506" s="2" t="s">
        <v>0</v>
      </c>
      <c r="L506" s="22" t="s">
        <v>812</v>
      </c>
      <c r="M506" s="2" t="s">
        <v>0</v>
      </c>
      <c r="N506" s="22" t="s">
        <v>653</v>
      </c>
      <c r="O506" s="1" t="s">
        <v>931</v>
      </c>
      <c r="P506" s="24" t="s">
        <v>703</v>
      </c>
    </row>
    <row r="507" spans="1:16" ht="24" customHeight="1" x14ac:dyDescent="0.25">
      <c r="A507" s="1" t="s">
        <v>516</v>
      </c>
      <c r="B507" s="1" t="s">
        <v>697</v>
      </c>
      <c r="C507" s="2" t="s">
        <v>0</v>
      </c>
      <c r="D507" s="1" t="s">
        <v>829</v>
      </c>
      <c r="E507" s="2"/>
      <c r="F507" s="22"/>
      <c r="G507" s="4" t="s">
        <v>731</v>
      </c>
      <c r="H507" s="3"/>
      <c r="I507" s="3"/>
      <c r="J507" s="1" t="s">
        <v>723</v>
      </c>
      <c r="K507" s="2" t="s">
        <v>0</v>
      </c>
      <c r="L507" s="22" t="s">
        <v>812</v>
      </c>
      <c r="M507" s="2" t="s">
        <v>0</v>
      </c>
      <c r="N507" s="22" t="s">
        <v>653</v>
      </c>
      <c r="O507" s="1" t="s">
        <v>931</v>
      </c>
      <c r="P507" s="24" t="s">
        <v>703</v>
      </c>
    </row>
    <row r="508" spans="1:16" ht="24" customHeight="1" x14ac:dyDescent="0.25">
      <c r="A508" s="1" t="s">
        <v>517</v>
      </c>
      <c r="B508" s="1" t="s">
        <v>697</v>
      </c>
      <c r="C508" s="2" t="s">
        <v>0</v>
      </c>
      <c r="D508" s="1" t="s">
        <v>830</v>
      </c>
      <c r="E508" s="2"/>
      <c r="F508" s="22"/>
      <c r="G508" s="4" t="s">
        <v>731</v>
      </c>
      <c r="H508" s="1" t="s">
        <v>649</v>
      </c>
      <c r="I508" s="2" t="s">
        <v>0</v>
      </c>
      <c r="J508" s="1" t="s">
        <v>649</v>
      </c>
      <c r="K508" s="2" t="s">
        <v>0</v>
      </c>
      <c r="L508" s="22" t="s">
        <v>812</v>
      </c>
      <c r="M508" s="1" t="s">
        <v>0</v>
      </c>
      <c r="N508" s="24" t="s">
        <v>653</v>
      </c>
      <c r="O508" s="1" t="s">
        <v>931</v>
      </c>
      <c r="P508" s="24" t="s">
        <v>703</v>
      </c>
    </row>
    <row r="509" spans="1:16" ht="24" customHeight="1" x14ac:dyDescent="0.25">
      <c r="A509" s="1" t="s">
        <v>518</v>
      </c>
      <c r="B509" s="1" t="s">
        <v>697</v>
      </c>
      <c r="C509" s="2" t="s">
        <v>0</v>
      </c>
      <c r="D509" s="1" t="s">
        <v>748</v>
      </c>
      <c r="E509" s="2"/>
      <c r="F509" s="22"/>
      <c r="G509" s="4" t="s">
        <v>731</v>
      </c>
      <c r="H509" s="3"/>
      <c r="I509" s="3"/>
      <c r="J509" s="1" t="s">
        <v>653</v>
      </c>
      <c r="K509" s="2" t="s">
        <v>0</v>
      </c>
      <c r="L509" s="22" t="s">
        <v>812</v>
      </c>
      <c r="M509" s="2" t="s">
        <v>0</v>
      </c>
      <c r="N509" s="22" t="s">
        <v>653</v>
      </c>
      <c r="O509" s="1" t="s">
        <v>931</v>
      </c>
      <c r="P509" s="24" t="s">
        <v>703</v>
      </c>
    </row>
    <row r="510" spans="1:16" ht="24" customHeight="1" x14ac:dyDescent="0.25">
      <c r="A510" s="1" t="s">
        <v>519</v>
      </c>
      <c r="B510" s="1" t="s">
        <v>697</v>
      </c>
      <c r="C510" s="2" t="s">
        <v>0</v>
      </c>
      <c r="D510" s="1" t="s">
        <v>749</v>
      </c>
      <c r="E510" s="2"/>
      <c r="F510" s="22"/>
      <c r="G510" s="4" t="s">
        <v>731</v>
      </c>
      <c r="H510" s="3"/>
      <c r="I510" s="3"/>
      <c r="J510" s="1" t="s">
        <v>654</v>
      </c>
      <c r="K510" s="2" t="s">
        <v>0</v>
      </c>
      <c r="L510" s="22" t="s">
        <v>812</v>
      </c>
      <c r="M510" s="2" t="s">
        <v>0</v>
      </c>
      <c r="N510" s="22" t="s">
        <v>653</v>
      </c>
      <c r="O510" s="1" t="s">
        <v>931</v>
      </c>
      <c r="P510" s="24" t="s">
        <v>703</v>
      </c>
    </row>
    <row r="511" spans="1:16" ht="24" customHeight="1" x14ac:dyDescent="0.25">
      <c r="A511" s="1" t="s">
        <v>520</v>
      </c>
      <c r="B511" s="1" t="s">
        <v>636</v>
      </c>
      <c r="C511" s="2" t="s">
        <v>0</v>
      </c>
      <c r="D511" s="22" t="s">
        <v>636</v>
      </c>
      <c r="E511" s="2" t="s">
        <v>0</v>
      </c>
      <c r="F511" s="22" t="s">
        <v>687</v>
      </c>
      <c r="G511" s="4" t="s">
        <v>731</v>
      </c>
      <c r="H511" s="3"/>
      <c r="I511" s="3"/>
      <c r="J511" s="1" t="s">
        <v>689</v>
      </c>
      <c r="K511" s="2" t="s">
        <v>0</v>
      </c>
      <c r="L511" s="22" t="s">
        <v>687</v>
      </c>
      <c r="M511" s="2"/>
      <c r="N511" s="22"/>
      <c r="O511" s="1" t="s">
        <v>932</v>
      </c>
      <c r="P511" s="24" t="s">
        <v>691</v>
      </c>
    </row>
    <row r="512" spans="1:16" ht="24" customHeight="1" x14ac:dyDescent="0.25">
      <c r="A512" s="1" t="s">
        <v>521</v>
      </c>
      <c r="B512" s="1" t="s">
        <v>636</v>
      </c>
      <c r="C512" s="2" t="s">
        <v>0</v>
      </c>
      <c r="D512" s="22" t="s">
        <v>688</v>
      </c>
      <c r="E512" s="2"/>
      <c r="F512" s="22"/>
      <c r="G512" s="4" t="s">
        <v>731</v>
      </c>
      <c r="H512" s="3"/>
      <c r="I512" s="3"/>
      <c r="J512" s="1" t="s">
        <v>689</v>
      </c>
      <c r="K512" s="2" t="s">
        <v>0</v>
      </c>
      <c r="L512" s="22" t="s">
        <v>639</v>
      </c>
      <c r="M512" s="2"/>
      <c r="N512" s="22"/>
      <c r="O512" s="1" t="s">
        <v>933</v>
      </c>
      <c r="P512" s="24" t="s">
        <v>1034</v>
      </c>
    </row>
    <row r="513" spans="1:16" ht="24" customHeight="1" x14ac:dyDescent="0.25">
      <c r="A513" s="1" t="s">
        <v>522</v>
      </c>
      <c r="B513" s="1" t="s">
        <v>636</v>
      </c>
      <c r="C513" s="2" t="s">
        <v>0</v>
      </c>
      <c r="D513" s="1" t="s">
        <v>739</v>
      </c>
      <c r="E513" s="2"/>
      <c r="F513" s="22"/>
      <c r="G513" s="4" t="s">
        <v>731</v>
      </c>
      <c r="H513" s="3"/>
      <c r="I513" s="3"/>
      <c r="J513" s="1" t="s">
        <v>738</v>
      </c>
      <c r="K513" s="2" t="s">
        <v>0</v>
      </c>
      <c r="L513" s="22" t="s">
        <v>639</v>
      </c>
      <c r="M513" s="2"/>
      <c r="N513" s="22"/>
      <c r="O513" s="1" t="s">
        <v>934</v>
      </c>
      <c r="P513" s="24" t="s">
        <v>1034</v>
      </c>
    </row>
    <row r="514" spans="1:16" ht="24" customHeight="1" x14ac:dyDescent="0.25">
      <c r="A514" s="1" t="s">
        <v>523</v>
      </c>
      <c r="B514" s="1" t="s">
        <v>636</v>
      </c>
      <c r="C514" s="2" t="s">
        <v>0</v>
      </c>
      <c r="D514" s="1" t="s">
        <v>739</v>
      </c>
      <c r="E514" s="2"/>
      <c r="F514" s="22"/>
      <c r="G514" s="4" t="s">
        <v>731</v>
      </c>
      <c r="H514" s="3"/>
      <c r="I514" s="3"/>
      <c r="J514" s="1" t="s">
        <v>689</v>
      </c>
      <c r="K514" s="2" t="s">
        <v>0</v>
      </c>
      <c r="L514" s="22" t="s">
        <v>639</v>
      </c>
      <c r="M514" s="2" t="s">
        <v>0</v>
      </c>
      <c r="N514" s="22" t="s">
        <v>639</v>
      </c>
      <c r="O514" s="1" t="s">
        <v>935</v>
      </c>
      <c r="P514" s="24" t="s">
        <v>805</v>
      </c>
    </row>
    <row r="515" spans="1:16" ht="24" customHeight="1" x14ac:dyDescent="0.25">
      <c r="A515" s="1" t="s">
        <v>524</v>
      </c>
      <c r="B515" s="1" t="s">
        <v>636</v>
      </c>
      <c r="C515" s="2" t="s">
        <v>0</v>
      </c>
      <c r="D515" s="1" t="s">
        <v>739</v>
      </c>
      <c r="E515" s="2"/>
      <c r="F515" s="22"/>
      <c r="G515" s="4" t="s">
        <v>731</v>
      </c>
      <c r="H515" s="3"/>
      <c r="I515" s="3"/>
      <c r="J515" s="1" t="s">
        <v>688</v>
      </c>
      <c r="K515" s="2" t="s">
        <v>0</v>
      </c>
      <c r="L515" s="22" t="s">
        <v>688</v>
      </c>
      <c r="M515" s="2"/>
      <c r="N515" s="22"/>
      <c r="O515" s="1" t="s">
        <v>936</v>
      </c>
      <c r="P515" s="24" t="s">
        <v>805</v>
      </c>
    </row>
    <row r="516" spans="1:16" ht="24" customHeight="1" x14ac:dyDescent="0.25">
      <c r="A516" s="1" t="s">
        <v>525</v>
      </c>
      <c r="B516" s="1" t="s">
        <v>636</v>
      </c>
      <c r="C516" s="2" t="s">
        <v>0</v>
      </c>
      <c r="D516" s="1" t="s">
        <v>739</v>
      </c>
      <c r="E516" s="2"/>
      <c r="F516" s="22"/>
      <c r="G516" s="4" t="s">
        <v>731</v>
      </c>
      <c r="H516" s="3"/>
      <c r="I516" s="3"/>
      <c r="J516" s="1" t="s">
        <v>689</v>
      </c>
      <c r="K516" s="2" t="s">
        <v>0</v>
      </c>
      <c r="L516" s="1" t="s">
        <v>649</v>
      </c>
      <c r="M516" s="2"/>
      <c r="N516" s="22"/>
      <c r="O516" s="1" t="s">
        <v>937</v>
      </c>
      <c r="P516" s="24" t="s">
        <v>805</v>
      </c>
    </row>
    <row r="517" spans="1:16" ht="24" customHeight="1" x14ac:dyDescent="0.25">
      <c r="A517" s="1" t="s">
        <v>526</v>
      </c>
      <c r="B517" s="1" t="s">
        <v>636</v>
      </c>
      <c r="C517" s="2" t="s">
        <v>0</v>
      </c>
      <c r="D517" s="22" t="s">
        <v>639</v>
      </c>
      <c r="E517" s="2" t="s">
        <v>0</v>
      </c>
      <c r="F517" s="22" t="s">
        <v>687</v>
      </c>
      <c r="G517" s="4" t="s">
        <v>731</v>
      </c>
      <c r="H517" s="3"/>
      <c r="I517" s="3"/>
      <c r="J517" s="1" t="s">
        <v>688</v>
      </c>
      <c r="K517" s="2" t="s">
        <v>0</v>
      </c>
      <c r="L517" s="22" t="s">
        <v>687</v>
      </c>
      <c r="M517" s="2"/>
      <c r="N517" s="22"/>
      <c r="O517" s="1" t="s">
        <v>938</v>
      </c>
      <c r="P517" s="24" t="s">
        <v>1034</v>
      </c>
    </row>
    <row r="518" spans="1:16" ht="24" customHeight="1" x14ac:dyDescent="0.25">
      <c r="A518" s="1" t="s">
        <v>527</v>
      </c>
      <c r="B518" s="1" t="s">
        <v>636</v>
      </c>
      <c r="C518" s="2" t="s">
        <v>0</v>
      </c>
      <c r="D518" s="1" t="s">
        <v>649</v>
      </c>
      <c r="E518" s="2"/>
      <c r="F518" s="22"/>
      <c r="G518" s="4" t="s">
        <v>731</v>
      </c>
      <c r="H518" s="3"/>
      <c r="I518" s="3"/>
      <c r="J518" s="1" t="s">
        <v>688</v>
      </c>
      <c r="K518" s="2" t="s">
        <v>0</v>
      </c>
      <c r="L518" s="22" t="s">
        <v>639</v>
      </c>
      <c r="M518" s="2"/>
      <c r="N518" s="22"/>
      <c r="O518" s="1" t="s">
        <v>939</v>
      </c>
      <c r="P518" s="24" t="s">
        <v>1034</v>
      </c>
    </row>
    <row r="519" spans="1:16" ht="24" customHeight="1" x14ac:dyDescent="0.25">
      <c r="A519" s="1" t="s">
        <v>528</v>
      </c>
      <c r="B519" s="1" t="s">
        <v>636</v>
      </c>
      <c r="C519" s="2" t="s">
        <v>0</v>
      </c>
      <c r="D519" s="1" t="s">
        <v>723</v>
      </c>
      <c r="E519" s="2"/>
      <c r="F519" s="22"/>
      <c r="G519" s="4" t="s">
        <v>731</v>
      </c>
      <c r="H519" s="3"/>
      <c r="I519" s="3"/>
      <c r="J519" s="1" t="s">
        <v>688</v>
      </c>
      <c r="K519" s="2" t="s">
        <v>0</v>
      </c>
      <c r="L519" s="1" t="s">
        <v>649</v>
      </c>
      <c r="M519" s="2"/>
      <c r="N519" s="22"/>
      <c r="O519" s="1" t="s">
        <v>940</v>
      </c>
      <c r="P519" s="24" t="s">
        <v>805</v>
      </c>
    </row>
    <row r="520" spans="1:16" ht="24" customHeight="1" x14ac:dyDescent="0.25">
      <c r="A520" s="1" t="s">
        <v>529</v>
      </c>
      <c r="B520" s="1" t="s">
        <v>636</v>
      </c>
      <c r="C520" s="2" t="s">
        <v>0</v>
      </c>
      <c r="D520" s="22" t="s">
        <v>654</v>
      </c>
      <c r="E520" s="2"/>
      <c r="F520" s="22"/>
      <c r="G520" s="4" t="s">
        <v>731</v>
      </c>
      <c r="H520" s="3"/>
      <c r="I520" s="3"/>
      <c r="J520" s="1" t="s">
        <v>653</v>
      </c>
      <c r="K520" s="2" t="s">
        <v>0</v>
      </c>
      <c r="L520" s="22" t="s">
        <v>688</v>
      </c>
      <c r="M520" s="2"/>
      <c r="N520" s="22"/>
      <c r="O520" s="1" t="s">
        <v>941</v>
      </c>
      <c r="P520" s="24" t="s">
        <v>691</v>
      </c>
    </row>
    <row r="521" spans="1:16" ht="24" customHeight="1" x14ac:dyDescent="0.25">
      <c r="A521" s="1" t="s">
        <v>530</v>
      </c>
      <c r="B521" s="1" t="s">
        <v>636</v>
      </c>
      <c r="C521" s="2" t="s">
        <v>0</v>
      </c>
      <c r="D521" s="22" t="s">
        <v>767</v>
      </c>
      <c r="E521" s="2"/>
      <c r="F521" s="22"/>
      <c r="G521" s="4" t="s">
        <v>731</v>
      </c>
      <c r="H521" s="3"/>
      <c r="I521" s="3"/>
      <c r="J521" s="1" t="s">
        <v>688</v>
      </c>
      <c r="K521" s="2" t="s">
        <v>0</v>
      </c>
      <c r="L521" s="22" t="s">
        <v>654</v>
      </c>
      <c r="M521" s="2"/>
      <c r="N521" s="22"/>
      <c r="O521" s="1" t="s">
        <v>942</v>
      </c>
      <c r="P521" s="24" t="s">
        <v>691</v>
      </c>
    </row>
    <row r="522" spans="1:16" ht="24" customHeight="1" x14ac:dyDescent="0.25">
      <c r="A522" s="1" t="s">
        <v>531</v>
      </c>
      <c r="B522" s="1" t="s">
        <v>814</v>
      </c>
      <c r="C522" s="2" t="s">
        <v>0</v>
      </c>
      <c r="D522" s="22" t="s">
        <v>689</v>
      </c>
      <c r="E522" s="2"/>
      <c r="F522" s="22"/>
      <c r="G522" s="4" t="s">
        <v>731</v>
      </c>
      <c r="H522" s="3"/>
      <c r="I522" s="3"/>
      <c r="J522" s="1" t="s">
        <v>636</v>
      </c>
      <c r="K522" s="2" t="s">
        <v>0</v>
      </c>
      <c r="L522" s="22" t="s">
        <v>689</v>
      </c>
      <c r="M522" s="2"/>
      <c r="N522" s="22"/>
      <c r="O522" s="1" t="s">
        <v>943</v>
      </c>
      <c r="P522" s="24" t="s">
        <v>1034</v>
      </c>
    </row>
    <row r="523" spans="1:16" ht="24" customHeight="1" x14ac:dyDescent="0.25">
      <c r="A523" s="1" t="s">
        <v>532</v>
      </c>
      <c r="B523" s="1" t="s">
        <v>814</v>
      </c>
      <c r="C523" s="2" t="s">
        <v>0</v>
      </c>
      <c r="D523" s="22" t="s">
        <v>738</v>
      </c>
      <c r="E523" s="2"/>
      <c r="F523" s="22"/>
      <c r="G523" s="4" t="s">
        <v>731</v>
      </c>
      <c r="H523" s="3"/>
      <c r="I523" s="3"/>
      <c r="J523" s="22" t="s">
        <v>689</v>
      </c>
      <c r="K523" s="2" t="s">
        <v>0</v>
      </c>
      <c r="L523" s="22" t="s">
        <v>688</v>
      </c>
      <c r="M523" s="2"/>
      <c r="N523" s="22"/>
      <c r="O523" s="1" t="s">
        <v>944</v>
      </c>
      <c r="P523" s="24" t="s">
        <v>1034</v>
      </c>
    </row>
    <row r="524" spans="1:16" ht="24" customHeight="1" x14ac:dyDescent="0.25">
      <c r="A524" s="1" t="s">
        <v>533</v>
      </c>
      <c r="B524" s="1" t="s">
        <v>814</v>
      </c>
      <c r="C524" s="2" t="s">
        <v>0</v>
      </c>
      <c r="D524" s="22" t="s">
        <v>688</v>
      </c>
      <c r="E524" s="2"/>
      <c r="F524" s="22"/>
      <c r="G524" s="4" t="s">
        <v>731</v>
      </c>
      <c r="H524" s="3"/>
      <c r="I524" s="3"/>
      <c r="J524" s="22" t="s">
        <v>738</v>
      </c>
      <c r="K524" s="2"/>
      <c r="L524" s="22"/>
      <c r="M524" s="2"/>
      <c r="N524" s="22"/>
      <c r="O524" s="1" t="s">
        <v>945</v>
      </c>
      <c r="P524" s="24" t="s">
        <v>690</v>
      </c>
    </row>
    <row r="525" spans="1:16" ht="24" customHeight="1" x14ac:dyDescent="0.25">
      <c r="A525" s="1" t="s">
        <v>534</v>
      </c>
      <c r="B525" s="1" t="s">
        <v>814</v>
      </c>
      <c r="C525" s="2" t="s">
        <v>0</v>
      </c>
      <c r="D525" s="22" t="s">
        <v>688</v>
      </c>
      <c r="E525" s="2"/>
      <c r="F525" s="22"/>
      <c r="G525" s="4" t="s">
        <v>731</v>
      </c>
      <c r="H525" s="3"/>
      <c r="I525" s="3"/>
      <c r="J525" s="1" t="s">
        <v>639</v>
      </c>
      <c r="K525" s="2" t="s">
        <v>0</v>
      </c>
      <c r="L525" s="22" t="s">
        <v>689</v>
      </c>
      <c r="M525" s="2"/>
      <c r="N525" s="22"/>
      <c r="O525" s="1" t="s">
        <v>946</v>
      </c>
      <c r="P525" s="24" t="s">
        <v>1034</v>
      </c>
    </row>
    <row r="526" spans="1:16" ht="24" customHeight="1" x14ac:dyDescent="0.25">
      <c r="A526" s="1" t="s">
        <v>535</v>
      </c>
      <c r="B526" s="1" t="s">
        <v>814</v>
      </c>
      <c r="C526" s="2" t="s">
        <v>0</v>
      </c>
      <c r="D526" s="1" t="s">
        <v>639</v>
      </c>
      <c r="E526" s="2"/>
      <c r="F526" s="22"/>
      <c r="G526" s="4" t="s">
        <v>731</v>
      </c>
      <c r="H526" s="3"/>
      <c r="I526" s="3"/>
      <c r="J526" s="1" t="s">
        <v>636</v>
      </c>
      <c r="K526" s="2" t="s">
        <v>0</v>
      </c>
      <c r="L526" s="22" t="s">
        <v>639</v>
      </c>
      <c r="M526" s="2"/>
      <c r="N526" s="22"/>
      <c r="O526" s="1" t="s">
        <v>937</v>
      </c>
      <c r="P526" s="24" t="s">
        <v>756</v>
      </c>
    </row>
    <row r="527" spans="1:16" ht="24" customHeight="1" x14ac:dyDescent="0.25">
      <c r="A527" s="1" t="s">
        <v>536</v>
      </c>
      <c r="B527" s="1" t="s">
        <v>814</v>
      </c>
      <c r="C527" s="2" t="s">
        <v>0</v>
      </c>
      <c r="D527" s="1" t="s">
        <v>649</v>
      </c>
      <c r="E527" s="2"/>
      <c r="F527" s="22"/>
      <c r="G527" s="4" t="s">
        <v>731</v>
      </c>
      <c r="H527" s="3"/>
      <c r="I527" s="3"/>
      <c r="J527" s="1" t="s">
        <v>688</v>
      </c>
      <c r="K527" s="2" t="s">
        <v>0</v>
      </c>
      <c r="L527" s="22" t="s">
        <v>639</v>
      </c>
      <c r="M527" s="2"/>
      <c r="N527" s="22"/>
      <c r="O527" s="1" t="s">
        <v>947</v>
      </c>
      <c r="P527" s="24" t="s">
        <v>690</v>
      </c>
    </row>
    <row r="528" spans="1:16" ht="24" customHeight="1" x14ac:dyDescent="0.25">
      <c r="A528" s="1" t="s">
        <v>537</v>
      </c>
      <c r="B528" s="1" t="s">
        <v>814</v>
      </c>
      <c r="C528" s="2" t="s">
        <v>0</v>
      </c>
      <c r="D528" s="1" t="s">
        <v>649</v>
      </c>
      <c r="E528" s="2"/>
      <c r="F528" s="22"/>
      <c r="G528" s="4" t="s">
        <v>731</v>
      </c>
      <c r="H528" s="3"/>
      <c r="I528" s="3"/>
      <c r="J528" s="1" t="s">
        <v>688</v>
      </c>
      <c r="K528" s="2" t="s">
        <v>0</v>
      </c>
      <c r="L528" s="22" t="s">
        <v>839</v>
      </c>
      <c r="M528" s="2"/>
      <c r="N528" s="22"/>
      <c r="O528" s="1" t="s">
        <v>948</v>
      </c>
      <c r="P528" s="24" t="s">
        <v>690</v>
      </c>
    </row>
    <row r="529" spans="1:16" ht="24" customHeight="1" x14ac:dyDescent="0.25">
      <c r="A529" s="1" t="s">
        <v>538</v>
      </c>
      <c r="B529" s="1" t="s">
        <v>837</v>
      </c>
      <c r="C529" s="2" t="s">
        <v>0</v>
      </c>
      <c r="D529" s="22" t="s">
        <v>689</v>
      </c>
      <c r="E529" s="2"/>
      <c r="F529" s="22"/>
      <c r="G529" s="4" t="s">
        <v>731</v>
      </c>
      <c r="H529" s="3"/>
      <c r="I529" s="3"/>
      <c r="J529" s="22" t="s">
        <v>689</v>
      </c>
      <c r="K529" s="2" t="s">
        <v>0</v>
      </c>
      <c r="L529" s="22" t="s">
        <v>689</v>
      </c>
      <c r="M529" s="2"/>
      <c r="N529" s="22"/>
      <c r="O529" s="1" t="s">
        <v>950</v>
      </c>
      <c r="P529" s="24" t="s">
        <v>1034</v>
      </c>
    </row>
    <row r="530" spans="1:16" ht="24" customHeight="1" x14ac:dyDescent="0.25">
      <c r="A530" s="1" t="s">
        <v>539</v>
      </c>
      <c r="B530" s="1" t="s">
        <v>837</v>
      </c>
      <c r="C530" s="2" t="s">
        <v>0</v>
      </c>
      <c r="D530" s="1" t="s">
        <v>837</v>
      </c>
      <c r="E530" s="2"/>
      <c r="F530" s="22"/>
      <c r="G530" s="4" t="s">
        <v>731</v>
      </c>
      <c r="H530" s="3"/>
      <c r="I530" s="3"/>
      <c r="J530" s="1" t="s">
        <v>643</v>
      </c>
      <c r="K530" s="2" t="s">
        <v>0</v>
      </c>
      <c r="L530" s="22" t="s">
        <v>689</v>
      </c>
      <c r="M530" s="2"/>
      <c r="N530" s="22"/>
      <c r="O530" s="1" t="s">
        <v>847</v>
      </c>
      <c r="P530" s="24" t="s">
        <v>1034</v>
      </c>
    </row>
    <row r="531" spans="1:16" ht="24" customHeight="1" x14ac:dyDescent="0.25">
      <c r="A531" s="1" t="s">
        <v>540</v>
      </c>
      <c r="B531" s="1" t="s">
        <v>837</v>
      </c>
      <c r="C531" s="2" t="s">
        <v>0</v>
      </c>
      <c r="D531" s="22" t="s">
        <v>738</v>
      </c>
      <c r="E531" s="2"/>
      <c r="F531" s="22"/>
      <c r="G531" s="4" t="s">
        <v>731</v>
      </c>
      <c r="H531" s="3"/>
      <c r="I531" s="3"/>
      <c r="J531" s="1" t="s">
        <v>639</v>
      </c>
      <c r="K531" s="2" t="s">
        <v>0</v>
      </c>
      <c r="L531" s="22" t="s">
        <v>689</v>
      </c>
      <c r="M531" s="2" t="s">
        <v>0</v>
      </c>
      <c r="N531" s="22" t="s">
        <v>689</v>
      </c>
      <c r="O531" s="1" t="s">
        <v>951</v>
      </c>
      <c r="P531" s="24" t="s">
        <v>756</v>
      </c>
    </row>
    <row r="532" spans="1:16" ht="24" customHeight="1" x14ac:dyDescent="0.25">
      <c r="A532" s="1" t="s">
        <v>541</v>
      </c>
      <c r="B532" s="1" t="s">
        <v>837</v>
      </c>
      <c r="C532" s="2" t="s">
        <v>0</v>
      </c>
      <c r="D532" s="22" t="s">
        <v>738</v>
      </c>
      <c r="E532" s="2"/>
      <c r="F532" s="22"/>
      <c r="G532" s="4" t="s">
        <v>731</v>
      </c>
      <c r="H532" s="3"/>
      <c r="I532" s="3"/>
      <c r="J532" s="1" t="s">
        <v>688</v>
      </c>
      <c r="K532" s="2" t="s">
        <v>0</v>
      </c>
      <c r="L532" s="22" t="s">
        <v>636</v>
      </c>
      <c r="M532" s="2" t="s">
        <v>0</v>
      </c>
      <c r="N532" s="22" t="s">
        <v>689</v>
      </c>
      <c r="O532" s="1" t="s">
        <v>951</v>
      </c>
      <c r="P532" s="24" t="s">
        <v>756</v>
      </c>
    </row>
    <row r="533" spans="1:16" ht="24" customHeight="1" x14ac:dyDescent="0.25">
      <c r="A533" s="1" t="s">
        <v>542</v>
      </c>
      <c r="B533" s="1" t="s">
        <v>837</v>
      </c>
      <c r="C533" s="2" t="s">
        <v>0</v>
      </c>
      <c r="D533" s="22" t="s">
        <v>739</v>
      </c>
      <c r="F533" s="22"/>
      <c r="G533" s="4" t="s">
        <v>731</v>
      </c>
      <c r="H533" s="3"/>
      <c r="I533" s="3"/>
      <c r="J533" s="22" t="s">
        <v>689</v>
      </c>
      <c r="K533" s="2" t="s">
        <v>0</v>
      </c>
      <c r="L533" s="22" t="s">
        <v>688</v>
      </c>
      <c r="M533" s="2" t="s">
        <v>0</v>
      </c>
      <c r="N533" s="22" t="s">
        <v>639</v>
      </c>
      <c r="O533" s="1" t="s">
        <v>952</v>
      </c>
      <c r="P533" s="24" t="s">
        <v>1034</v>
      </c>
    </row>
    <row r="534" spans="1:16" ht="24" customHeight="1" x14ac:dyDescent="0.25">
      <c r="A534" s="1" t="s">
        <v>543</v>
      </c>
      <c r="B534" s="1" t="s">
        <v>837</v>
      </c>
      <c r="C534" s="2" t="s">
        <v>0</v>
      </c>
      <c r="D534" s="1" t="s">
        <v>649</v>
      </c>
      <c r="E534" s="2"/>
      <c r="F534" s="22"/>
      <c r="G534" s="4" t="s">
        <v>731</v>
      </c>
      <c r="H534" s="3"/>
      <c r="I534" s="3"/>
      <c r="J534" s="22" t="s">
        <v>689</v>
      </c>
      <c r="K534" s="2" t="s">
        <v>0</v>
      </c>
      <c r="L534" s="22" t="s">
        <v>639</v>
      </c>
      <c r="M534" s="2" t="s">
        <v>0</v>
      </c>
      <c r="N534" s="22" t="s">
        <v>639</v>
      </c>
      <c r="O534" s="1" t="s">
        <v>953</v>
      </c>
      <c r="P534" s="24" t="s">
        <v>1034</v>
      </c>
    </row>
    <row r="535" spans="1:16" ht="24" customHeight="1" x14ac:dyDescent="0.25">
      <c r="A535" s="1" t="s">
        <v>544</v>
      </c>
      <c r="B535" s="1" t="s">
        <v>837</v>
      </c>
      <c r="C535" s="2" t="s">
        <v>0</v>
      </c>
      <c r="D535" s="1" t="s">
        <v>649</v>
      </c>
      <c r="E535" s="2"/>
      <c r="F535" s="22"/>
      <c r="G535" s="4" t="s">
        <v>731</v>
      </c>
      <c r="H535" s="3"/>
      <c r="I535" s="3"/>
      <c r="J535" s="1" t="s">
        <v>838</v>
      </c>
      <c r="K535" s="2" t="s">
        <v>0</v>
      </c>
      <c r="L535" s="22" t="s">
        <v>689</v>
      </c>
      <c r="M535" s="2"/>
      <c r="N535" s="22"/>
      <c r="O535" s="1" t="s">
        <v>764</v>
      </c>
      <c r="P535" s="24" t="s">
        <v>756</v>
      </c>
    </row>
    <row r="536" spans="1:16" ht="24" customHeight="1" x14ac:dyDescent="0.25">
      <c r="A536" s="1" t="s">
        <v>545</v>
      </c>
      <c r="B536" s="1" t="s">
        <v>837</v>
      </c>
      <c r="C536" s="2" t="s">
        <v>0</v>
      </c>
      <c r="D536" s="22" t="s">
        <v>636</v>
      </c>
      <c r="E536" s="2"/>
      <c r="F536" s="22"/>
      <c r="G536" s="4" t="s">
        <v>731</v>
      </c>
      <c r="H536" s="3"/>
      <c r="I536" s="3"/>
      <c r="J536" s="1" t="s">
        <v>636</v>
      </c>
      <c r="K536" s="2" t="s">
        <v>0</v>
      </c>
      <c r="L536" s="22" t="s">
        <v>689</v>
      </c>
      <c r="M536" s="2"/>
      <c r="N536" s="22"/>
      <c r="O536" s="1" t="s">
        <v>852</v>
      </c>
      <c r="P536" s="24" t="s">
        <v>756</v>
      </c>
    </row>
    <row r="537" spans="1:16" ht="24" customHeight="1" x14ac:dyDescent="0.25">
      <c r="A537" s="1" t="s">
        <v>546</v>
      </c>
      <c r="B537" s="1" t="s">
        <v>837</v>
      </c>
      <c r="C537" s="2" t="s">
        <v>0</v>
      </c>
      <c r="D537" s="22" t="s">
        <v>639</v>
      </c>
      <c r="E537" s="2"/>
      <c r="F537" s="22"/>
      <c r="G537" s="4" t="s">
        <v>731</v>
      </c>
      <c r="H537" s="3"/>
      <c r="I537" s="3"/>
      <c r="J537" s="1" t="s">
        <v>688</v>
      </c>
      <c r="K537" s="2" t="s">
        <v>0</v>
      </c>
      <c r="L537" s="22" t="s">
        <v>814</v>
      </c>
      <c r="M537" s="2"/>
      <c r="N537" s="22"/>
      <c r="O537" s="1" t="s">
        <v>954</v>
      </c>
      <c r="P537" s="24" t="s">
        <v>691</v>
      </c>
    </row>
    <row r="538" spans="1:16" ht="24" customHeight="1" x14ac:dyDescent="0.25">
      <c r="A538" s="1" t="s">
        <v>547</v>
      </c>
      <c r="B538" s="1" t="s">
        <v>837</v>
      </c>
      <c r="C538" s="2" t="s">
        <v>0</v>
      </c>
      <c r="D538" s="22" t="s">
        <v>639</v>
      </c>
      <c r="E538" s="2"/>
      <c r="F538" s="22"/>
      <c r="G538" s="4" t="s">
        <v>731</v>
      </c>
      <c r="H538" s="3"/>
      <c r="I538" s="3"/>
      <c r="J538" s="22" t="s">
        <v>839</v>
      </c>
      <c r="K538" s="2" t="s">
        <v>0</v>
      </c>
      <c r="L538" s="22" t="s">
        <v>689</v>
      </c>
      <c r="M538" s="2"/>
      <c r="N538" s="22"/>
      <c r="O538" s="1" t="s">
        <v>778</v>
      </c>
      <c r="P538" s="24" t="s">
        <v>756</v>
      </c>
    </row>
    <row r="539" spans="1:16" ht="24" customHeight="1" x14ac:dyDescent="0.25">
      <c r="A539" s="1" t="s">
        <v>548</v>
      </c>
      <c r="B539" s="1" t="s">
        <v>837</v>
      </c>
      <c r="C539" s="2" t="s">
        <v>0</v>
      </c>
      <c r="D539" s="22" t="s">
        <v>812</v>
      </c>
      <c r="F539" s="22"/>
      <c r="G539" s="4" t="s">
        <v>731</v>
      </c>
      <c r="H539" s="3"/>
      <c r="I539" s="3"/>
      <c r="J539" s="1" t="s">
        <v>653</v>
      </c>
      <c r="K539" s="2" t="s">
        <v>0</v>
      </c>
      <c r="L539" s="22" t="s">
        <v>654</v>
      </c>
      <c r="M539" s="2" t="s">
        <v>0</v>
      </c>
      <c r="N539" s="22" t="s">
        <v>689</v>
      </c>
      <c r="O539" s="1" t="s">
        <v>955</v>
      </c>
      <c r="P539" s="24" t="s">
        <v>691</v>
      </c>
    </row>
    <row r="540" spans="1:16" ht="24" customHeight="1" x14ac:dyDescent="0.25">
      <c r="A540" s="1" t="s">
        <v>549</v>
      </c>
      <c r="B540" s="1" t="s">
        <v>643</v>
      </c>
      <c r="C540" s="2" t="s">
        <v>0</v>
      </c>
      <c r="D540" s="22" t="s">
        <v>689</v>
      </c>
      <c r="E540" s="2"/>
      <c r="F540" s="22"/>
      <c r="G540" s="4" t="s">
        <v>731</v>
      </c>
      <c r="H540" s="3"/>
      <c r="I540" s="3"/>
      <c r="J540" s="1" t="s">
        <v>837</v>
      </c>
      <c r="K540" s="2" t="s">
        <v>0</v>
      </c>
      <c r="L540" s="22" t="s">
        <v>689</v>
      </c>
      <c r="M540" s="2"/>
      <c r="N540" s="22"/>
      <c r="O540" s="1" t="s">
        <v>852</v>
      </c>
      <c r="P540" s="24" t="s">
        <v>690</v>
      </c>
    </row>
    <row r="541" spans="1:16" ht="24" customHeight="1" x14ac:dyDescent="0.25">
      <c r="A541" s="1" t="s">
        <v>550</v>
      </c>
      <c r="B541" s="1" t="s">
        <v>643</v>
      </c>
      <c r="C541" s="2" t="s">
        <v>0</v>
      </c>
      <c r="D541" s="22"/>
      <c r="E541" s="2"/>
      <c r="F541" s="22"/>
      <c r="G541" s="4" t="s">
        <v>731</v>
      </c>
      <c r="H541" s="3"/>
      <c r="I541" s="3"/>
      <c r="J541" s="1" t="s">
        <v>837</v>
      </c>
      <c r="K541" s="2"/>
      <c r="L541" s="22"/>
      <c r="M541" s="2"/>
      <c r="N541" s="22"/>
      <c r="O541" s="1" t="s">
        <v>956</v>
      </c>
      <c r="P541" s="24" t="s">
        <v>1032</v>
      </c>
    </row>
    <row r="542" spans="1:16" ht="24" customHeight="1" x14ac:dyDescent="0.25">
      <c r="A542" s="1" t="s">
        <v>551</v>
      </c>
      <c r="B542" s="1" t="s">
        <v>643</v>
      </c>
      <c r="C542" s="2" t="s">
        <v>0</v>
      </c>
      <c r="D542" s="22" t="s">
        <v>688</v>
      </c>
      <c r="F542" s="22"/>
      <c r="G542" s="4" t="s">
        <v>731</v>
      </c>
      <c r="H542" s="3"/>
      <c r="I542" s="3"/>
      <c r="J542" s="1" t="s">
        <v>837</v>
      </c>
      <c r="K542" s="2" t="s">
        <v>0</v>
      </c>
      <c r="L542" s="22" t="s">
        <v>688</v>
      </c>
      <c r="M542" s="2"/>
      <c r="N542" s="22"/>
      <c r="O542" s="1" t="s">
        <v>861</v>
      </c>
      <c r="P542" s="24" t="s">
        <v>691</v>
      </c>
    </row>
    <row r="543" spans="1:16" ht="24" customHeight="1" x14ac:dyDescent="0.25">
      <c r="A543" s="1" t="s">
        <v>552</v>
      </c>
      <c r="B543" s="1" t="s">
        <v>643</v>
      </c>
      <c r="C543" s="2" t="s">
        <v>0</v>
      </c>
      <c r="D543" s="1" t="s">
        <v>649</v>
      </c>
      <c r="E543" s="2"/>
      <c r="F543" s="22"/>
      <c r="G543" s="4" t="s">
        <v>731</v>
      </c>
      <c r="H543" s="3"/>
      <c r="I543" s="3"/>
      <c r="J543" s="22" t="s">
        <v>689</v>
      </c>
      <c r="K543" s="2" t="s">
        <v>0</v>
      </c>
      <c r="L543" s="22" t="s">
        <v>639</v>
      </c>
      <c r="M543" s="2" t="s">
        <v>0</v>
      </c>
      <c r="N543" s="22" t="s">
        <v>639</v>
      </c>
      <c r="O543" s="1" t="s">
        <v>766</v>
      </c>
      <c r="P543" s="24" t="s">
        <v>691</v>
      </c>
    </row>
    <row r="544" spans="1:16" ht="24" customHeight="1" x14ac:dyDescent="0.25">
      <c r="A544" s="1" t="s">
        <v>553</v>
      </c>
      <c r="B544" s="1" t="s">
        <v>643</v>
      </c>
      <c r="C544" s="2" t="s">
        <v>0</v>
      </c>
      <c r="D544" s="22" t="s">
        <v>699</v>
      </c>
      <c r="E544" s="2"/>
      <c r="F544" s="22"/>
      <c r="G544" s="4" t="s">
        <v>731</v>
      </c>
      <c r="H544" s="3"/>
      <c r="I544" s="3"/>
      <c r="J544" s="1" t="s">
        <v>837</v>
      </c>
      <c r="K544" s="2" t="s">
        <v>0</v>
      </c>
      <c r="L544" s="22" t="s">
        <v>699</v>
      </c>
      <c r="M544" s="2"/>
      <c r="N544" s="22"/>
      <c r="O544" s="1" t="s">
        <v>957</v>
      </c>
      <c r="P544" s="24" t="s">
        <v>691</v>
      </c>
    </row>
    <row r="545" spans="1:16" ht="24" customHeight="1" x14ac:dyDescent="0.25">
      <c r="A545" s="1" t="s">
        <v>554</v>
      </c>
      <c r="B545" s="1" t="s">
        <v>639</v>
      </c>
      <c r="C545" s="2" t="s">
        <v>0</v>
      </c>
      <c r="D545" s="22" t="s">
        <v>639</v>
      </c>
      <c r="E545" s="2" t="s">
        <v>0</v>
      </c>
      <c r="F545" s="22" t="s">
        <v>687</v>
      </c>
      <c r="G545" s="4" t="s">
        <v>731</v>
      </c>
      <c r="H545" s="3"/>
      <c r="I545" s="3"/>
      <c r="J545" s="1" t="s">
        <v>649</v>
      </c>
      <c r="K545" s="2" t="s">
        <v>0</v>
      </c>
      <c r="L545" s="22" t="s">
        <v>687</v>
      </c>
      <c r="M545" s="2"/>
      <c r="N545" s="22"/>
      <c r="O545" s="1" t="s">
        <v>958</v>
      </c>
      <c r="P545" s="24" t="s">
        <v>1034</v>
      </c>
    </row>
    <row r="546" spans="1:16" ht="24" customHeight="1" x14ac:dyDescent="0.25">
      <c r="A546" s="1" t="s">
        <v>555</v>
      </c>
      <c r="B546" s="1" t="s">
        <v>639</v>
      </c>
      <c r="C546" s="2" t="s">
        <v>0</v>
      </c>
      <c r="D546" s="1" t="s">
        <v>649</v>
      </c>
      <c r="E546" s="2" t="s">
        <v>0</v>
      </c>
      <c r="F546" s="22" t="s">
        <v>687</v>
      </c>
      <c r="G546" s="4" t="s">
        <v>731</v>
      </c>
      <c r="H546" s="3"/>
      <c r="I546" s="3"/>
      <c r="J546" s="1" t="s">
        <v>723</v>
      </c>
      <c r="K546" s="2" t="s">
        <v>0</v>
      </c>
      <c r="L546" s="22" t="s">
        <v>687</v>
      </c>
      <c r="M546" s="2"/>
      <c r="N546" s="22"/>
      <c r="O546" s="1" t="s">
        <v>959</v>
      </c>
      <c r="P546" s="24" t="s">
        <v>1034</v>
      </c>
    </row>
    <row r="547" spans="1:16" ht="24" customHeight="1" x14ac:dyDescent="0.25">
      <c r="A547" s="1" t="s">
        <v>556</v>
      </c>
      <c r="B547" s="1" t="s">
        <v>639</v>
      </c>
      <c r="C547" s="2" t="s">
        <v>0</v>
      </c>
      <c r="D547" s="1" t="s">
        <v>723</v>
      </c>
      <c r="E547" s="2"/>
      <c r="F547" s="22"/>
      <c r="G547" s="4" t="s">
        <v>810</v>
      </c>
      <c r="H547" s="3"/>
      <c r="I547" s="3"/>
      <c r="J547" s="1" t="s">
        <v>649</v>
      </c>
      <c r="K547" s="2" t="s">
        <v>0</v>
      </c>
      <c r="L547" s="1" t="s">
        <v>649</v>
      </c>
      <c r="M547" s="2"/>
      <c r="N547" s="22"/>
      <c r="O547" s="1" t="s">
        <v>960</v>
      </c>
      <c r="P547" s="24" t="s">
        <v>1034</v>
      </c>
    </row>
    <row r="548" spans="1:16" ht="24" customHeight="1" x14ac:dyDescent="0.25">
      <c r="A548" s="1" t="s">
        <v>557</v>
      </c>
      <c r="B548" s="1" t="s">
        <v>639</v>
      </c>
      <c r="C548" s="2" t="s">
        <v>0</v>
      </c>
      <c r="D548" s="22" t="s">
        <v>688</v>
      </c>
      <c r="E548" s="2" t="s">
        <v>0</v>
      </c>
      <c r="F548" s="22" t="s">
        <v>687</v>
      </c>
      <c r="G548" s="4" t="s">
        <v>731</v>
      </c>
      <c r="H548" s="3"/>
      <c r="I548" s="3"/>
      <c r="J548" s="22" t="s">
        <v>739</v>
      </c>
      <c r="K548" s="2" t="s">
        <v>0</v>
      </c>
      <c r="L548" s="22" t="s">
        <v>687</v>
      </c>
      <c r="M548" s="2"/>
      <c r="N548" s="22"/>
      <c r="O548" s="1" t="s">
        <v>961</v>
      </c>
      <c r="P548" s="24" t="s">
        <v>1034</v>
      </c>
    </row>
    <row r="549" spans="1:16" ht="24" customHeight="1" x14ac:dyDescent="0.25">
      <c r="A549" s="1" t="s">
        <v>558</v>
      </c>
      <c r="B549" s="1" t="s">
        <v>639</v>
      </c>
      <c r="C549" s="2" t="s">
        <v>0</v>
      </c>
      <c r="D549" s="22" t="s">
        <v>739</v>
      </c>
      <c r="E549" s="2"/>
      <c r="F549" s="22"/>
      <c r="G549" s="4" t="s">
        <v>731</v>
      </c>
      <c r="H549" s="3"/>
      <c r="I549" s="3"/>
      <c r="J549" s="1" t="s">
        <v>688</v>
      </c>
      <c r="K549" s="2" t="s">
        <v>0</v>
      </c>
      <c r="L549" s="1" t="s">
        <v>649</v>
      </c>
      <c r="M549" s="2"/>
      <c r="N549" s="22"/>
      <c r="O549" s="1" t="s">
        <v>962</v>
      </c>
      <c r="P549" s="24" t="s">
        <v>1034</v>
      </c>
    </row>
    <row r="550" spans="1:16" ht="24" customHeight="1" x14ac:dyDescent="0.25">
      <c r="A550" s="1" t="s">
        <v>559</v>
      </c>
      <c r="B550" s="1" t="s">
        <v>639</v>
      </c>
      <c r="C550" s="2" t="s">
        <v>0</v>
      </c>
      <c r="D550" s="22" t="s">
        <v>739</v>
      </c>
      <c r="E550" s="2" t="s">
        <v>0</v>
      </c>
      <c r="F550" s="22" t="s">
        <v>687</v>
      </c>
      <c r="G550" s="4" t="s">
        <v>731</v>
      </c>
      <c r="H550" s="3"/>
      <c r="I550" s="3"/>
      <c r="J550" s="22" t="s">
        <v>740</v>
      </c>
      <c r="K550" s="2" t="s">
        <v>0</v>
      </c>
      <c r="L550" s="22" t="s">
        <v>687</v>
      </c>
      <c r="M550" s="2"/>
      <c r="N550" s="22"/>
      <c r="O550" s="1" t="s">
        <v>963</v>
      </c>
      <c r="P550" s="24" t="s">
        <v>1034</v>
      </c>
    </row>
    <row r="551" spans="1:16" ht="24" customHeight="1" x14ac:dyDescent="0.25">
      <c r="A551" s="1" t="s">
        <v>560</v>
      </c>
      <c r="B551" s="1" t="s">
        <v>639</v>
      </c>
      <c r="C551" s="2" t="s">
        <v>0</v>
      </c>
      <c r="D551" s="22" t="s">
        <v>740</v>
      </c>
      <c r="E551" s="2"/>
      <c r="F551" s="22"/>
      <c r="G551" s="4" t="s">
        <v>731</v>
      </c>
      <c r="H551" s="3"/>
      <c r="I551" s="3"/>
      <c r="J551" s="1" t="s">
        <v>649</v>
      </c>
      <c r="K551" s="2" t="s">
        <v>0</v>
      </c>
      <c r="L551" s="22" t="s">
        <v>739</v>
      </c>
      <c r="M551" s="2"/>
      <c r="N551" s="22"/>
      <c r="O551" s="1" t="s">
        <v>964</v>
      </c>
      <c r="P551" s="24" t="s">
        <v>1034</v>
      </c>
    </row>
    <row r="552" spans="1:16" ht="24" customHeight="1" x14ac:dyDescent="0.25">
      <c r="A552" s="1" t="s">
        <v>561</v>
      </c>
      <c r="B552" s="1" t="s">
        <v>639</v>
      </c>
      <c r="C552" s="2" t="s">
        <v>0</v>
      </c>
      <c r="D552" s="22" t="s">
        <v>653</v>
      </c>
      <c r="E552" s="2" t="s">
        <v>0</v>
      </c>
      <c r="F552" s="22" t="s">
        <v>687</v>
      </c>
      <c r="G552" s="4" t="s">
        <v>731</v>
      </c>
      <c r="H552" s="3"/>
      <c r="I552" s="3"/>
      <c r="J552" s="1" t="s">
        <v>654</v>
      </c>
      <c r="K552" s="2" t="s">
        <v>0</v>
      </c>
      <c r="L552" s="22" t="s">
        <v>687</v>
      </c>
      <c r="M552" s="2"/>
      <c r="N552" s="22"/>
      <c r="O552" s="1" t="s">
        <v>965</v>
      </c>
      <c r="P552" s="24" t="s">
        <v>1031</v>
      </c>
    </row>
    <row r="553" spans="1:16" ht="24" customHeight="1" x14ac:dyDescent="0.25">
      <c r="A553" s="1" t="s">
        <v>562</v>
      </c>
      <c r="B553" s="1" t="s">
        <v>639</v>
      </c>
      <c r="C553" s="2" t="s">
        <v>0</v>
      </c>
      <c r="D553" s="22" t="s">
        <v>654</v>
      </c>
      <c r="E553" s="2"/>
      <c r="F553" s="22"/>
      <c r="G553" s="4" t="s">
        <v>731</v>
      </c>
      <c r="H553" s="3"/>
      <c r="I553" s="3"/>
      <c r="J553" s="1" t="s">
        <v>653</v>
      </c>
      <c r="K553" s="2" t="s">
        <v>0</v>
      </c>
      <c r="L553" s="1" t="s">
        <v>649</v>
      </c>
      <c r="M553" s="2"/>
      <c r="N553" s="22"/>
      <c r="O553" s="1" t="s">
        <v>966</v>
      </c>
      <c r="P553" s="24" t="s">
        <v>691</v>
      </c>
    </row>
    <row r="554" spans="1:16" ht="24" customHeight="1" x14ac:dyDescent="0.25">
      <c r="A554" s="1" t="s">
        <v>563</v>
      </c>
      <c r="B554" s="1" t="s">
        <v>639</v>
      </c>
      <c r="C554" s="2" t="s">
        <v>0</v>
      </c>
      <c r="D554" s="22" t="s">
        <v>840</v>
      </c>
      <c r="E554" s="2"/>
      <c r="F554" s="22"/>
      <c r="G554" s="4" t="s">
        <v>731</v>
      </c>
      <c r="H554" s="3"/>
      <c r="I554" s="3"/>
      <c r="J554" s="1" t="s">
        <v>654</v>
      </c>
      <c r="K554" s="2" t="s">
        <v>0</v>
      </c>
      <c r="L554" s="22" t="s">
        <v>841</v>
      </c>
      <c r="M554" s="2"/>
      <c r="N554" s="22"/>
      <c r="O554" s="1" t="s">
        <v>967</v>
      </c>
      <c r="P554" s="24" t="s">
        <v>691</v>
      </c>
    </row>
    <row r="555" spans="1:16" ht="24" customHeight="1" x14ac:dyDescent="0.25">
      <c r="A555" s="1" t="s">
        <v>564</v>
      </c>
      <c r="B555" s="1" t="s">
        <v>639</v>
      </c>
      <c r="C555" s="2" t="s">
        <v>0</v>
      </c>
      <c r="D555" s="22" t="s">
        <v>841</v>
      </c>
      <c r="E555" s="2"/>
      <c r="F555" s="22"/>
      <c r="G555" s="4" t="s">
        <v>731</v>
      </c>
      <c r="H555" s="3"/>
      <c r="I555" s="3"/>
      <c r="J555" s="1" t="s">
        <v>654</v>
      </c>
      <c r="K555" s="2" t="s">
        <v>0</v>
      </c>
      <c r="L555" s="1" t="s">
        <v>649</v>
      </c>
      <c r="M555" s="2"/>
      <c r="N555" s="22"/>
      <c r="O555" s="1" t="s">
        <v>968</v>
      </c>
      <c r="P555" s="24" t="s">
        <v>691</v>
      </c>
    </row>
    <row r="556" spans="1:16" ht="24" customHeight="1" x14ac:dyDescent="0.25">
      <c r="A556" s="1" t="s">
        <v>565</v>
      </c>
      <c r="B556" s="1" t="s">
        <v>639</v>
      </c>
      <c r="C556" s="2" t="s">
        <v>0</v>
      </c>
      <c r="D556" s="22" t="s">
        <v>811</v>
      </c>
      <c r="E556" s="2"/>
      <c r="F556" s="22"/>
      <c r="G556" s="4" t="s">
        <v>731</v>
      </c>
      <c r="H556" s="3"/>
      <c r="I556" s="3"/>
      <c r="J556" s="1" t="s">
        <v>654</v>
      </c>
      <c r="K556" s="2" t="s">
        <v>0</v>
      </c>
      <c r="L556" s="22" t="s">
        <v>688</v>
      </c>
      <c r="M556" s="2"/>
      <c r="N556" s="22"/>
      <c r="O556" s="1" t="s">
        <v>969</v>
      </c>
      <c r="P556" s="24" t="s">
        <v>756</v>
      </c>
    </row>
    <row r="557" spans="1:16" ht="24" customHeight="1" x14ac:dyDescent="0.25">
      <c r="A557" s="1" t="s">
        <v>566</v>
      </c>
      <c r="B557" s="1" t="s">
        <v>639</v>
      </c>
      <c r="C557" s="2" t="s">
        <v>0</v>
      </c>
      <c r="D557" s="22" t="s">
        <v>818</v>
      </c>
      <c r="E557" s="2"/>
      <c r="F557" s="22"/>
      <c r="G557" s="4" t="s">
        <v>731</v>
      </c>
      <c r="H557" s="3"/>
      <c r="I557" s="3"/>
      <c r="J557" s="22" t="s">
        <v>739</v>
      </c>
      <c r="K557" s="2" t="s">
        <v>0</v>
      </c>
      <c r="L557" s="22" t="s">
        <v>654</v>
      </c>
      <c r="M557" s="2"/>
      <c r="N557" s="22"/>
      <c r="O557" s="1" t="s">
        <v>970</v>
      </c>
      <c r="P557" s="24" t="s">
        <v>1031</v>
      </c>
    </row>
    <row r="558" spans="1:16" ht="24" customHeight="1" x14ac:dyDescent="0.25">
      <c r="A558" s="1" t="s">
        <v>567</v>
      </c>
      <c r="B558" s="1" t="s">
        <v>839</v>
      </c>
      <c r="C558" s="2" t="s">
        <v>0</v>
      </c>
      <c r="D558" s="1" t="s">
        <v>649</v>
      </c>
      <c r="E558" s="2"/>
      <c r="F558" s="22"/>
      <c r="G558" s="4" t="s">
        <v>731</v>
      </c>
      <c r="H558" s="3"/>
      <c r="I558" s="3"/>
      <c r="J558" s="1" t="s">
        <v>639</v>
      </c>
      <c r="K558" s="2" t="s">
        <v>0</v>
      </c>
      <c r="L558" s="1" t="s">
        <v>649</v>
      </c>
      <c r="M558" s="2"/>
      <c r="N558" s="22"/>
      <c r="O558" s="1" t="s">
        <v>971</v>
      </c>
      <c r="P558" s="24" t="s">
        <v>691</v>
      </c>
    </row>
    <row r="559" spans="1:16" ht="24" customHeight="1" x14ac:dyDescent="0.25">
      <c r="A559" s="1" t="s">
        <v>568</v>
      </c>
      <c r="B559" s="1" t="s">
        <v>839</v>
      </c>
      <c r="C559" s="2" t="s">
        <v>0</v>
      </c>
      <c r="D559" s="22" t="s">
        <v>639</v>
      </c>
      <c r="E559" s="2"/>
      <c r="F559" s="22"/>
      <c r="G559" s="4" t="s">
        <v>731</v>
      </c>
      <c r="H559" s="3"/>
      <c r="I559" s="3"/>
      <c r="J559" s="1" t="s">
        <v>639</v>
      </c>
      <c r="K559" s="2" t="s">
        <v>0</v>
      </c>
      <c r="L559" s="22" t="s">
        <v>639</v>
      </c>
      <c r="M559" s="2"/>
      <c r="N559" s="22"/>
      <c r="O559" s="1" t="s">
        <v>972</v>
      </c>
      <c r="P559" s="24" t="s">
        <v>691</v>
      </c>
    </row>
    <row r="560" spans="1:16" ht="24" customHeight="1" x14ac:dyDescent="0.25">
      <c r="A560" s="1" t="s">
        <v>569</v>
      </c>
      <c r="B560" s="1" t="s">
        <v>839</v>
      </c>
      <c r="C560" s="2" t="s">
        <v>0</v>
      </c>
      <c r="D560" s="1" t="s">
        <v>838</v>
      </c>
      <c r="E560" s="2"/>
      <c r="F560" s="22"/>
      <c r="G560" s="4" t="s">
        <v>731</v>
      </c>
      <c r="H560" s="3"/>
      <c r="I560" s="3"/>
      <c r="J560" s="1" t="s">
        <v>639</v>
      </c>
      <c r="K560" s="2" t="s">
        <v>0</v>
      </c>
      <c r="L560" s="1" t="s">
        <v>649</v>
      </c>
      <c r="M560" s="2"/>
      <c r="N560" s="22"/>
      <c r="O560" s="1" t="s">
        <v>727</v>
      </c>
      <c r="P560" s="24" t="s">
        <v>1035</v>
      </c>
    </row>
    <row r="561" spans="1:16" ht="24" customHeight="1" x14ac:dyDescent="0.25">
      <c r="A561" s="1" t="s">
        <v>570</v>
      </c>
      <c r="B561" s="1" t="s">
        <v>839</v>
      </c>
      <c r="C561" s="2" t="s">
        <v>0</v>
      </c>
      <c r="D561" s="1" t="s">
        <v>649</v>
      </c>
      <c r="E561" s="2"/>
      <c r="F561" s="22"/>
      <c r="G561" s="4" t="s">
        <v>731</v>
      </c>
      <c r="H561" s="3"/>
      <c r="I561" s="3"/>
      <c r="J561" s="1" t="s">
        <v>639</v>
      </c>
      <c r="K561" s="2" t="s">
        <v>0</v>
      </c>
      <c r="L561" s="1" t="s">
        <v>838</v>
      </c>
      <c r="M561" s="2"/>
      <c r="N561" s="22"/>
      <c r="O561" s="1" t="s">
        <v>764</v>
      </c>
      <c r="P561" s="24" t="s">
        <v>691</v>
      </c>
    </row>
    <row r="562" spans="1:16" ht="24" customHeight="1" x14ac:dyDescent="0.25">
      <c r="A562" s="1" t="s">
        <v>571</v>
      </c>
      <c r="B562" s="1" t="s">
        <v>839</v>
      </c>
      <c r="C562" s="2" t="s">
        <v>0</v>
      </c>
      <c r="D562" s="1" t="s">
        <v>723</v>
      </c>
      <c r="E562" s="2"/>
      <c r="F562" s="22"/>
      <c r="G562" s="4" t="s">
        <v>731</v>
      </c>
      <c r="H562" s="3"/>
      <c r="I562" s="3"/>
      <c r="J562" s="1" t="s">
        <v>639</v>
      </c>
      <c r="K562" s="2" t="s">
        <v>0</v>
      </c>
      <c r="L562" s="22" t="s">
        <v>639</v>
      </c>
      <c r="M562" s="2" t="s">
        <v>0</v>
      </c>
      <c r="N562" s="1" t="s">
        <v>649</v>
      </c>
      <c r="O562" s="1" t="s">
        <v>926</v>
      </c>
      <c r="P562" s="24" t="s">
        <v>691</v>
      </c>
    </row>
    <row r="563" spans="1:16" ht="24" customHeight="1" x14ac:dyDescent="0.25">
      <c r="A563" s="1" t="s">
        <v>572</v>
      </c>
      <c r="B563" s="1" t="s">
        <v>839</v>
      </c>
      <c r="C563" s="2" t="s">
        <v>0</v>
      </c>
      <c r="D563" s="1" t="s">
        <v>723</v>
      </c>
      <c r="E563" s="2"/>
      <c r="F563" s="22"/>
      <c r="G563" s="4" t="s">
        <v>810</v>
      </c>
      <c r="H563" s="3"/>
      <c r="I563" s="3"/>
      <c r="J563" s="1" t="s">
        <v>649</v>
      </c>
      <c r="K563" s="2" t="s">
        <v>0</v>
      </c>
      <c r="L563" s="1" t="s">
        <v>649</v>
      </c>
      <c r="M563" s="2"/>
      <c r="N563" s="22"/>
      <c r="O563" s="1" t="s">
        <v>926</v>
      </c>
      <c r="P563" s="24" t="s">
        <v>691</v>
      </c>
    </row>
    <row r="564" spans="1:16" ht="24" customHeight="1" x14ac:dyDescent="0.25">
      <c r="A564" s="1" t="s">
        <v>573</v>
      </c>
      <c r="B564" s="1" t="s">
        <v>839</v>
      </c>
      <c r="C564" s="2" t="s">
        <v>0</v>
      </c>
      <c r="D564" s="22" t="s">
        <v>689</v>
      </c>
      <c r="E564" s="2"/>
      <c r="F564" s="22"/>
      <c r="G564" s="4" t="s">
        <v>731</v>
      </c>
      <c r="H564" s="3"/>
      <c r="I564" s="3"/>
      <c r="J564" s="1" t="s">
        <v>639</v>
      </c>
      <c r="K564" s="2" t="s">
        <v>0</v>
      </c>
      <c r="L564" s="22" t="s">
        <v>689</v>
      </c>
      <c r="M564" s="2"/>
      <c r="N564" s="22"/>
      <c r="O564" s="1" t="s">
        <v>973</v>
      </c>
      <c r="P564" s="24" t="s">
        <v>1034</v>
      </c>
    </row>
    <row r="565" spans="1:16" ht="24" customHeight="1" x14ac:dyDescent="0.25">
      <c r="A565" s="1" t="s">
        <v>574</v>
      </c>
      <c r="B565" s="1" t="s">
        <v>839</v>
      </c>
      <c r="C565" s="2" t="s">
        <v>0</v>
      </c>
      <c r="D565" s="22" t="s">
        <v>689</v>
      </c>
      <c r="E565" s="2" t="s">
        <v>0</v>
      </c>
      <c r="F565" s="22" t="s">
        <v>687</v>
      </c>
      <c r="G565" s="4" t="s">
        <v>731</v>
      </c>
      <c r="H565" s="3"/>
      <c r="I565" s="3"/>
      <c r="J565" s="22" t="s">
        <v>738</v>
      </c>
      <c r="K565" s="2" t="s">
        <v>0</v>
      </c>
      <c r="L565" s="22" t="s">
        <v>687</v>
      </c>
      <c r="M565" s="2"/>
      <c r="N565" s="22"/>
      <c r="O565" s="1" t="s">
        <v>974</v>
      </c>
      <c r="P565" s="24" t="s">
        <v>1036</v>
      </c>
    </row>
    <row r="566" spans="1:16" ht="24" customHeight="1" x14ac:dyDescent="0.25">
      <c r="A566" s="1" t="s">
        <v>575</v>
      </c>
      <c r="B566" s="1" t="s">
        <v>839</v>
      </c>
      <c r="C566" s="2" t="s">
        <v>0</v>
      </c>
      <c r="D566" s="22" t="s">
        <v>738</v>
      </c>
      <c r="E566" s="2"/>
      <c r="F566" s="22"/>
      <c r="G566" s="4" t="s">
        <v>731</v>
      </c>
      <c r="H566" s="3"/>
      <c r="I566" s="3"/>
      <c r="J566" s="22" t="s">
        <v>689</v>
      </c>
      <c r="K566" s="2" t="s">
        <v>0</v>
      </c>
      <c r="L566" s="1" t="s">
        <v>649</v>
      </c>
      <c r="M566" s="2"/>
      <c r="N566" s="22"/>
      <c r="O566" s="1" t="s">
        <v>857</v>
      </c>
      <c r="P566" s="24" t="s">
        <v>1034</v>
      </c>
    </row>
    <row r="567" spans="1:16" ht="24" customHeight="1" x14ac:dyDescent="0.25">
      <c r="A567" s="1" t="s">
        <v>576</v>
      </c>
      <c r="B567" s="1" t="s">
        <v>839</v>
      </c>
      <c r="C567" s="2" t="s">
        <v>0</v>
      </c>
      <c r="D567" s="22" t="s">
        <v>738</v>
      </c>
      <c r="E567" s="2"/>
      <c r="F567" s="22"/>
      <c r="G567" s="4" t="s">
        <v>731</v>
      </c>
      <c r="H567" s="3"/>
      <c r="I567" s="3"/>
      <c r="J567" s="1" t="s">
        <v>688</v>
      </c>
      <c r="K567" s="2" t="s">
        <v>0</v>
      </c>
      <c r="L567" s="22" t="s">
        <v>688</v>
      </c>
      <c r="M567" s="2"/>
      <c r="N567" s="22"/>
      <c r="O567" s="1" t="s">
        <v>975</v>
      </c>
      <c r="P567" s="24" t="s">
        <v>1034</v>
      </c>
    </row>
    <row r="568" spans="1:16" ht="24" customHeight="1" x14ac:dyDescent="0.25">
      <c r="A568" s="1" t="s">
        <v>577</v>
      </c>
      <c r="B568" s="1" t="s">
        <v>839</v>
      </c>
      <c r="C568" s="2" t="s">
        <v>0</v>
      </c>
      <c r="D568" s="22" t="s">
        <v>688</v>
      </c>
      <c r="E568" s="2"/>
      <c r="F568" s="22"/>
      <c r="G568" s="4" t="s">
        <v>731</v>
      </c>
      <c r="H568" s="3"/>
      <c r="I568" s="3"/>
      <c r="J568" s="1" t="s">
        <v>639</v>
      </c>
      <c r="K568" s="2" t="s">
        <v>0</v>
      </c>
      <c r="L568" s="22" t="s">
        <v>688</v>
      </c>
      <c r="M568" s="2"/>
      <c r="N568" s="22"/>
      <c r="O568" s="1" t="s">
        <v>976</v>
      </c>
      <c r="P568" s="24" t="s">
        <v>1035</v>
      </c>
    </row>
    <row r="569" spans="1:16" ht="24" customHeight="1" x14ac:dyDescent="0.25">
      <c r="A569" s="1" t="s">
        <v>578</v>
      </c>
      <c r="B569" s="1" t="s">
        <v>839</v>
      </c>
      <c r="C569" s="2" t="s">
        <v>0</v>
      </c>
      <c r="D569" s="22" t="s">
        <v>739</v>
      </c>
      <c r="E569" s="2"/>
      <c r="F569" s="22"/>
      <c r="G569" s="4" t="s">
        <v>731</v>
      </c>
      <c r="H569" s="3"/>
      <c r="I569" s="3"/>
      <c r="J569" s="1" t="s">
        <v>688</v>
      </c>
      <c r="K569" s="2" t="s">
        <v>0</v>
      </c>
      <c r="L569" s="1" t="s">
        <v>649</v>
      </c>
      <c r="M569" s="2"/>
      <c r="N569" s="22"/>
      <c r="O569" s="1" t="s">
        <v>765</v>
      </c>
      <c r="P569" s="24" t="s">
        <v>1034</v>
      </c>
    </row>
    <row r="570" spans="1:16" ht="24" customHeight="1" x14ac:dyDescent="0.25">
      <c r="A570" s="1" t="s">
        <v>579</v>
      </c>
      <c r="B570" s="1" t="s">
        <v>839</v>
      </c>
      <c r="C570" s="2" t="s">
        <v>0</v>
      </c>
      <c r="D570" s="22" t="s">
        <v>699</v>
      </c>
      <c r="E570" s="2"/>
      <c r="F570" s="22"/>
      <c r="G570" s="4" t="s">
        <v>731</v>
      </c>
      <c r="H570" s="3"/>
      <c r="I570" s="3"/>
      <c r="J570" s="1" t="s">
        <v>654</v>
      </c>
      <c r="K570" s="2" t="s">
        <v>0</v>
      </c>
      <c r="L570" s="22" t="s">
        <v>653</v>
      </c>
      <c r="M570" s="2"/>
      <c r="N570" s="22"/>
      <c r="O570" s="1" t="s">
        <v>977</v>
      </c>
      <c r="P570" s="24" t="s">
        <v>1036</v>
      </c>
    </row>
    <row r="571" spans="1:16" ht="24" customHeight="1" x14ac:dyDescent="0.25">
      <c r="A571" s="1" t="s">
        <v>580</v>
      </c>
      <c r="B571" s="1" t="s">
        <v>839</v>
      </c>
      <c r="C571" s="2" t="s">
        <v>0</v>
      </c>
      <c r="D571" s="22" t="s">
        <v>812</v>
      </c>
      <c r="E571" s="2"/>
      <c r="F571" s="22"/>
      <c r="G571" s="4" t="s">
        <v>731</v>
      </c>
      <c r="H571" s="3"/>
      <c r="I571" s="3"/>
      <c r="J571" s="1" t="s">
        <v>654</v>
      </c>
      <c r="K571" s="2" t="s">
        <v>0</v>
      </c>
      <c r="L571" s="22" t="s">
        <v>654</v>
      </c>
      <c r="M571" s="2"/>
      <c r="N571" s="22"/>
      <c r="O571" s="1" t="s">
        <v>949</v>
      </c>
      <c r="P571" s="24" t="s">
        <v>1037</v>
      </c>
    </row>
    <row r="572" spans="1:16" ht="24" customHeight="1" x14ac:dyDescent="0.25">
      <c r="A572" s="1" t="s">
        <v>581</v>
      </c>
      <c r="B572" s="1" t="s">
        <v>838</v>
      </c>
      <c r="C572" s="2" t="s">
        <v>0</v>
      </c>
      <c r="D572" s="1" t="s">
        <v>649</v>
      </c>
      <c r="E572" s="2"/>
      <c r="F572" s="22"/>
      <c r="G572" s="4" t="s">
        <v>731</v>
      </c>
      <c r="H572" s="3"/>
      <c r="I572" s="3"/>
      <c r="J572" s="1" t="s">
        <v>649</v>
      </c>
      <c r="K572" s="2" t="s">
        <v>0</v>
      </c>
      <c r="L572" s="1" t="s">
        <v>649</v>
      </c>
      <c r="M572" s="2"/>
      <c r="N572" s="22"/>
      <c r="O572" s="1" t="s">
        <v>978</v>
      </c>
      <c r="P572" s="24" t="s">
        <v>691</v>
      </c>
    </row>
    <row r="573" spans="1:16" ht="24" customHeight="1" x14ac:dyDescent="0.25">
      <c r="A573" s="1" t="s">
        <v>582</v>
      </c>
      <c r="B573" s="1" t="s">
        <v>838</v>
      </c>
      <c r="C573" s="2" t="s">
        <v>0</v>
      </c>
      <c r="D573" s="1" t="s">
        <v>723</v>
      </c>
      <c r="E573" s="2"/>
      <c r="F573" s="22"/>
      <c r="G573" s="4" t="s">
        <v>810</v>
      </c>
      <c r="H573" s="3"/>
      <c r="I573" s="3"/>
      <c r="J573" s="1" t="s">
        <v>639</v>
      </c>
      <c r="K573" s="2" t="s">
        <v>0</v>
      </c>
      <c r="L573" s="1" t="s">
        <v>649</v>
      </c>
      <c r="M573" s="2" t="s">
        <v>0</v>
      </c>
      <c r="N573" s="1" t="s">
        <v>649</v>
      </c>
      <c r="O573" s="1" t="s">
        <v>979</v>
      </c>
      <c r="P573" s="24" t="s">
        <v>1034</v>
      </c>
    </row>
    <row r="574" spans="1:16" ht="24" customHeight="1" x14ac:dyDescent="0.25">
      <c r="A574" s="1" t="s">
        <v>583</v>
      </c>
      <c r="B574" s="1" t="s">
        <v>838</v>
      </c>
      <c r="C574" s="2" t="s">
        <v>0</v>
      </c>
      <c r="D574" s="22" t="s">
        <v>687</v>
      </c>
      <c r="E574" s="2"/>
      <c r="F574" s="22"/>
      <c r="G574" s="4" t="s">
        <v>731</v>
      </c>
      <c r="H574" s="3"/>
      <c r="I574" s="3"/>
      <c r="J574" s="1" t="s">
        <v>649</v>
      </c>
      <c r="K574" s="2" t="s">
        <v>0</v>
      </c>
      <c r="L574" s="22" t="s">
        <v>687</v>
      </c>
      <c r="M574" s="2"/>
      <c r="N574" s="22"/>
      <c r="O574" s="1" t="s">
        <v>980</v>
      </c>
      <c r="P574" s="24" t="s">
        <v>1038</v>
      </c>
    </row>
    <row r="575" spans="1:16" ht="24" customHeight="1" x14ac:dyDescent="0.25">
      <c r="A575" s="1" t="s">
        <v>584</v>
      </c>
      <c r="B575" s="1" t="s">
        <v>838</v>
      </c>
      <c r="C575" s="2" t="s">
        <v>0</v>
      </c>
      <c r="D575" s="22" t="s">
        <v>688</v>
      </c>
      <c r="E575" s="2"/>
      <c r="F575" s="22"/>
      <c r="G575" s="4" t="s">
        <v>731</v>
      </c>
      <c r="H575" s="3"/>
      <c r="I575" s="3"/>
      <c r="J575" s="1" t="s">
        <v>649</v>
      </c>
      <c r="K575" s="2" t="s">
        <v>0</v>
      </c>
      <c r="L575" s="22" t="s">
        <v>688</v>
      </c>
      <c r="M575" s="2"/>
      <c r="N575" s="22"/>
      <c r="O575" s="1" t="s">
        <v>957</v>
      </c>
      <c r="P575" s="24" t="s">
        <v>690</v>
      </c>
    </row>
    <row r="576" spans="1:16" ht="24" customHeight="1" x14ac:dyDescent="0.25">
      <c r="A576" s="1" t="s">
        <v>585</v>
      </c>
      <c r="B576" s="1" t="s">
        <v>838</v>
      </c>
      <c r="C576" s="2" t="s">
        <v>0</v>
      </c>
      <c r="D576" s="22" t="s">
        <v>689</v>
      </c>
      <c r="E576" s="2"/>
      <c r="F576" s="22"/>
      <c r="G576" s="4" t="s">
        <v>731</v>
      </c>
      <c r="H576" s="3"/>
      <c r="I576" s="3"/>
      <c r="J576" s="1" t="s">
        <v>649</v>
      </c>
      <c r="K576" s="2" t="s">
        <v>0</v>
      </c>
      <c r="L576" s="22" t="s">
        <v>689</v>
      </c>
      <c r="M576" s="2"/>
      <c r="N576" s="22"/>
      <c r="O576" s="1" t="s">
        <v>981</v>
      </c>
      <c r="P576" s="24" t="s">
        <v>1036</v>
      </c>
    </row>
    <row r="577" spans="1:16" ht="24" customHeight="1" x14ac:dyDescent="0.25">
      <c r="A577" s="1" t="s">
        <v>586</v>
      </c>
      <c r="B577" s="1" t="s">
        <v>723</v>
      </c>
      <c r="C577" s="2" t="s">
        <v>0</v>
      </c>
      <c r="D577" s="22" t="s">
        <v>688</v>
      </c>
      <c r="E577" s="2"/>
      <c r="F577" s="22"/>
      <c r="G577" s="4" t="s">
        <v>731</v>
      </c>
      <c r="H577" s="3"/>
      <c r="I577" s="3"/>
      <c r="J577" s="22" t="s">
        <v>739</v>
      </c>
      <c r="K577" s="2" t="s">
        <v>0</v>
      </c>
      <c r="L577" s="1" t="s">
        <v>649</v>
      </c>
      <c r="M577" s="2"/>
      <c r="N577" s="22"/>
      <c r="O577" s="1" t="s">
        <v>982</v>
      </c>
      <c r="P577" s="24" t="s">
        <v>1034</v>
      </c>
    </row>
    <row r="578" spans="1:16" ht="24" customHeight="1" x14ac:dyDescent="0.25">
      <c r="A578" s="1" t="s">
        <v>587</v>
      </c>
      <c r="B578" s="1" t="s">
        <v>723</v>
      </c>
      <c r="C578" s="2" t="s">
        <v>0</v>
      </c>
      <c r="D578" s="22" t="s">
        <v>739</v>
      </c>
      <c r="E578" s="2"/>
      <c r="F578" s="22"/>
      <c r="G578" s="4" t="s">
        <v>731</v>
      </c>
      <c r="H578" s="3"/>
      <c r="I578" s="3"/>
      <c r="J578" s="22" t="s">
        <v>740</v>
      </c>
      <c r="K578" s="2" t="s">
        <v>0</v>
      </c>
      <c r="L578" s="1" t="s">
        <v>649</v>
      </c>
      <c r="M578" s="2"/>
      <c r="N578" s="22"/>
      <c r="O578" s="1" t="s">
        <v>983</v>
      </c>
      <c r="P578" s="24" t="s">
        <v>1034</v>
      </c>
    </row>
    <row r="579" spans="1:16" ht="24" customHeight="1" x14ac:dyDescent="0.25">
      <c r="A579" s="1" t="s">
        <v>588</v>
      </c>
      <c r="B579" s="1" t="s">
        <v>723</v>
      </c>
      <c r="C579" s="2" t="s">
        <v>0</v>
      </c>
      <c r="D579" s="22" t="s">
        <v>687</v>
      </c>
      <c r="E579" s="2"/>
      <c r="F579" s="22"/>
      <c r="G579" s="4" t="s">
        <v>731</v>
      </c>
      <c r="H579" s="3"/>
      <c r="I579" s="3"/>
      <c r="J579" s="1" t="s">
        <v>639</v>
      </c>
      <c r="K579" s="2" t="s">
        <v>0</v>
      </c>
      <c r="L579" s="1" t="s">
        <v>649</v>
      </c>
      <c r="M579" s="2" t="s">
        <v>0</v>
      </c>
      <c r="N579" s="22" t="s">
        <v>687</v>
      </c>
      <c r="O579" s="1" t="s">
        <v>984</v>
      </c>
      <c r="P579" s="24" t="s">
        <v>1038</v>
      </c>
    </row>
    <row r="580" spans="1:16" ht="24" customHeight="1" x14ac:dyDescent="0.25">
      <c r="A580" s="1" t="s">
        <v>589</v>
      </c>
      <c r="B580" s="1" t="s">
        <v>723</v>
      </c>
      <c r="C580" s="2" t="s">
        <v>0</v>
      </c>
      <c r="D580" s="22" t="s">
        <v>653</v>
      </c>
      <c r="E580" s="2"/>
      <c r="F580" s="22"/>
      <c r="G580" s="4" t="s">
        <v>731</v>
      </c>
      <c r="H580" s="3"/>
      <c r="I580" s="3"/>
      <c r="J580" s="1" t="s">
        <v>654</v>
      </c>
      <c r="K580" s="2" t="s">
        <v>0</v>
      </c>
      <c r="L580" s="1" t="s">
        <v>649</v>
      </c>
      <c r="M580" s="2"/>
      <c r="N580" s="22"/>
      <c r="O580" s="1" t="s">
        <v>985</v>
      </c>
      <c r="P580" s="24" t="s">
        <v>691</v>
      </c>
    </row>
    <row r="581" spans="1:16" ht="24" customHeight="1" x14ac:dyDescent="0.25">
      <c r="A581" s="1" t="s">
        <v>590</v>
      </c>
      <c r="B581" s="1" t="s">
        <v>723</v>
      </c>
      <c r="C581" s="2" t="s">
        <v>0</v>
      </c>
      <c r="D581" s="22" t="s">
        <v>654</v>
      </c>
      <c r="E581" s="2"/>
      <c r="F581" s="22"/>
      <c r="G581" s="4" t="s">
        <v>731</v>
      </c>
      <c r="H581" s="3"/>
      <c r="I581" s="3"/>
      <c r="J581" s="22" t="s">
        <v>767</v>
      </c>
      <c r="K581" s="2" t="s">
        <v>0</v>
      </c>
      <c r="L581" s="1" t="s">
        <v>649</v>
      </c>
      <c r="M581" s="2"/>
      <c r="N581" s="22"/>
      <c r="O581" s="1" t="s">
        <v>986</v>
      </c>
      <c r="P581" s="24" t="s">
        <v>691</v>
      </c>
    </row>
    <row r="582" spans="1:16" ht="24" customHeight="1" x14ac:dyDescent="0.25">
      <c r="A582" s="1" t="s">
        <v>591</v>
      </c>
      <c r="B582" s="1" t="s">
        <v>723</v>
      </c>
      <c r="C582" s="2" t="s">
        <v>0</v>
      </c>
      <c r="D582" s="22" t="s">
        <v>767</v>
      </c>
      <c r="E582" s="2"/>
      <c r="F582" s="22"/>
      <c r="G582" s="4" t="s">
        <v>731</v>
      </c>
      <c r="H582" s="3"/>
      <c r="I582" s="3"/>
      <c r="J582" s="1" t="s">
        <v>654</v>
      </c>
      <c r="K582" s="2" t="s">
        <v>0</v>
      </c>
      <c r="L582" s="1" t="s">
        <v>649</v>
      </c>
      <c r="M582" s="2" t="s">
        <v>0</v>
      </c>
      <c r="N582" s="1" t="s">
        <v>649</v>
      </c>
      <c r="O582" s="1" t="s">
        <v>987</v>
      </c>
      <c r="P582" s="24" t="s">
        <v>1036</v>
      </c>
    </row>
    <row r="583" spans="1:16" ht="24" customHeight="1" x14ac:dyDescent="0.25">
      <c r="A583" s="1" t="s">
        <v>592</v>
      </c>
      <c r="B583" s="1" t="s">
        <v>688</v>
      </c>
      <c r="C583" s="2" t="s">
        <v>0</v>
      </c>
      <c r="D583" s="22" t="s">
        <v>739</v>
      </c>
      <c r="E583" s="2" t="s">
        <v>0</v>
      </c>
      <c r="F583" s="22" t="s">
        <v>687</v>
      </c>
      <c r="G583" s="4" t="s">
        <v>731</v>
      </c>
      <c r="H583" s="3"/>
      <c r="I583" s="3"/>
      <c r="J583" s="1" t="s">
        <v>842</v>
      </c>
      <c r="K583" s="2" t="s">
        <v>0</v>
      </c>
      <c r="L583" s="22" t="s">
        <v>687</v>
      </c>
      <c r="M583" s="2"/>
      <c r="N583" s="22"/>
      <c r="O583" s="1" t="s">
        <v>988</v>
      </c>
      <c r="P583" s="24" t="s">
        <v>1035</v>
      </c>
    </row>
    <row r="584" spans="1:16" ht="24" customHeight="1" x14ac:dyDescent="0.25">
      <c r="A584" s="1" t="s">
        <v>593</v>
      </c>
      <c r="B584" s="1" t="s">
        <v>688</v>
      </c>
      <c r="C584" s="2" t="s">
        <v>0</v>
      </c>
      <c r="D584" s="22" t="s">
        <v>740</v>
      </c>
      <c r="E584" s="2"/>
      <c r="F584" s="22"/>
      <c r="G584" s="4" t="s">
        <v>731</v>
      </c>
      <c r="H584" s="3"/>
      <c r="I584" s="3"/>
      <c r="J584" s="22" t="s">
        <v>739</v>
      </c>
      <c r="K584" s="2" t="s">
        <v>0</v>
      </c>
      <c r="L584" s="22" t="s">
        <v>739</v>
      </c>
      <c r="M584" s="2"/>
      <c r="N584" s="22"/>
      <c r="O584" s="1" t="s">
        <v>989</v>
      </c>
      <c r="P584" s="24" t="s">
        <v>1034</v>
      </c>
    </row>
    <row r="585" spans="1:16" ht="24" customHeight="1" x14ac:dyDescent="0.25">
      <c r="A585" s="1" t="s">
        <v>594</v>
      </c>
      <c r="B585" s="1" t="s">
        <v>688</v>
      </c>
      <c r="C585" s="2" t="s">
        <v>0</v>
      </c>
      <c r="D585" s="22" t="s">
        <v>654</v>
      </c>
      <c r="E585" s="2" t="s">
        <v>0</v>
      </c>
      <c r="F585" s="22" t="s">
        <v>687</v>
      </c>
      <c r="G585" s="4" t="s">
        <v>731</v>
      </c>
      <c r="H585" s="3"/>
      <c r="I585" s="3"/>
      <c r="J585" s="1" t="s">
        <v>818</v>
      </c>
      <c r="K585" s="2" t="s">
        <v>0</v>
      </c>
      <c r="L585" s="22" t="s">
        <v>687</v>
      </c>
      <c r="M585" s="2"/>
      <c r="N585" s="22"/>
      <c r="O585" s="1" t="s">
        <v>990</v>
      </c>
      <c r="P585" s="24" t="s">
        <v>1034</v>
      </c>
    </row>
    <row r="586" spans="1:16" ht="24" customHeight="1" x14ac:dyDescent="0.25">
      <c r="A586" s="1" t="s">
        <v>595</v>
      </c>
      <c r="B586" s="1" t="s">
        <v>688</v>
      </c>
      <c r="C586" s="2" t="s">
        <v>0</v>
      </c>
      <c r="D586" s="22" t="s">
        <v>653</v>
      </c>
      <c r="E586" s="2" t="s">
        <v>0</v>
      </c>
      <c r="F586" s="22" t="s">
        <v>687</v>
      </c>
      <c r="G586" s="4" t="s">
        <v>731</v>
      </c>
      <c r="H586" s="3"/>
      <c r="I586" s="3"/>
      <c r="J586" s="1" t="s">
        <v>811</v>
      </c>
      <c r="K586" s="2" t="s">
        <v>0</v>
      </c>
      <c r="L586" s="22" t="s">
        <v>687</v>
      </c>
      <c r="M586" s="2"/>
      <c r="N586" s="22"/>
      <c r="O586" s="1" t="s">
        <v>991</v>
      </c>
      <c r="P586" s="24" t="s">
        <v>1039</v>
      </c>
    </row>
    <row r="587" spans="1:16" ht="24" customHeight="1" x14ac:dyDescent="0.25">
      <c r="A587" s="1" t="s">
        <v>596</v>
      </c>
      <c r="B587" s="1" t="s">
        <v>688</v>
      </c>
      <c r="C587" s="2" t="s">
        <v>0</v>
      </c>
      <c r="D587" s="22" t="s">
        <v>767</v>
      </c>
      <c r="E587" s="2"/>
      <c r="F587" s="22"/>
      <c r="G587" s="4" t="s">
        <v>731</v>
      </c>
      <c r="H587" s="3"/>
      <c r="I587" s="3"/>
      <c r="J587" s="1" t="s">
        <v>654</v>
      </c>
      <c r="K587" s="2" t="s">
        <v>0</v>
      </c>
      <c r="L587" s="22" t="s">
        <v>739</v>
      </c>
      <c r="M587" s="2"/>
      <c r="N587" s="22"/>
      <c r="O587" s="1" t="s">
        <v>992</v>
      </c>
      <c r="P587" s="24" t="s">
        <v>1031</v>
      </c>
    </row>
    <row r="588" spans="1:16" ht="24" customHeight="1" x14ac:dyDescent="0.25">
      <c r="A588" s="1" t="s">
        <v>597</v>
      </c>
      <c r="B588" s="1" t="s">
        <v>688</v>
      </c>
      <c r="C588" s="2" t="s">
        <v>0</v>
      </c>
      <c r="D588" s="22" t="s">
        <v>767</v>
      </c>
      <c r="E588" s="2"/>
      <c r="F588" s="22"/>
      <c r="G588" s="4" t="s">
        <v>731</v>
      </c>
      <c r="H588" s="3"/>
      <c r="I588" s="3"/>
      <c r="J588" s="1" t="s">
        <v>649</v>
      </c>
      <c r="K588" s="2" t="s">
        <v>0</v>
      </c>
      <c r="L588" s="22" t="s">
        <v>811</v>
      </c>
      <c r="M588" s="2"/>
      <c r="N588" s="22"/>
      <c r="O588" s="1" t="s">
        <v>993</v>
      </c>
      <c r="P588" s="24" t="s">
        <v>691</v>
      </c>
    </row>
    <row r="589" spans="1:16" ht="24" customHeight="1" x14ac:dyDescent="0.25">
      <c r="A589" s="1" t="s">
        <v>598</v>
      </c>
      <c r="B589" s="1" t="s">
        <v>739</v>
      </c>
      <c r="C589" s="2" t="s">
        <v>0</v>
      </c>
      <c r="D589" s="22" t="s">
        <v>739</v>
      </c>
      <c r="E589" s="2" t="s">
        <v>0</v>
      </c>
      <c r="F589" s="22" t="s">
        <v>687</v>
      </c>
      <c r="G589" s="4" t="s">
        <v>731</v>
      </c>
      <c r="H589" s="3"/>
      <c r="I589" s="3"/>
      <c r="J589" s="1" t="s">
        <v>843</v>
      </c>
      <c r="K589" s="2" t="s">
        <v>0</v>
      </c>
      <c r="L589" s="22" t="s">
        <v>687</v>
      </c>
      <c r="M589" s="2"/>
      <c r="N589" s="22"/>
      <c r="O589" s="1" t="s">
        <v>994</v>
      </c>
      <c r="P589" s="24" t="s">
        <v>1035</v>
      </c>
    </row>
    <row r="590" spans="1:16" ht="24" customHeight="1" x14ac:dyDescent="0.25">
      <c r="A590" s="1" t="s">
        <v>599</v>
      </c>
      <c r="B590" s="1" t="s">
        <v>739</v>
      </c>
      <c r="C590" s="2" t="s">
        <v>0</v>
      </c>
      <c r="D590" s="22" t="s">
        <v>740</v>
      </c>
      <c r="E590" s="2" t="s">
        <v>0</v>
      </c>
      <c r="F590" s="22" t="s">
        <v>687</v>
      </c>
      <c r="G590" s="4" t="s">
        <v>731</v>
      </c>
      <c r="H590" s="3"/>
      <c r="I590" s="3"/>
      <c r="J590" s="1" t="s">
        <v>674</v>
      </c>
      <c r="K590" s="2" t="s">
        <v>0</v>
      </c>
      <c r="L590" s="22" t="s">
        <v>687</v>
      </c>
      <c r="M590" s="2"/>
      <c r="N590" s="22"/>
      <c r="O590" s="1" t="s">
        <v>995</v>
      </c>
      <c r="P590" s="24" t="s">
        <v>1036</v>
      </c>
    </row>
    <row r="591" spans="1:16" ht="24" customHeight="1" x14ac:dyDescent="0.25">
      <c r="A591" s="1" t="s">
        <v>600</v>
      </c>
      <c r="B591" s="1" t="s">
        <v>739</v>
      </c>
      <c r="C591" s="2" t="s">
        <v>0</v>
      </c>
      <c r="D591" s="22" t="s">
        <v>740</v>
      </c>
      <c r="E591" s="2"/>
      <c r="F591" s="22"/>
      <c r="G591" s="4" t="s">
        <v>731</v>
      </c>
      <c r="H591" s="3"/>
      <c r="I591" s="3"/>
      <c r="J591" s="22" t="s">
        <v>739</v>
      </c>
      <c r="K591" s="2" t="s">
        <v>0</v>
      </c>
      <c r="L591" s="22" t="s">
        <v>688</v>
      </c>
      <c r="M591" s="2" t="s">
        <v>0</v>
      </c>
      <c r="N591" s="1" t="s">
        <v>649</v>
      </c>
      <c r="O591" s="1" t="s">
        <v>996</v>
      </c>
      <c r="P591" s="24" t="s">
        <v>691</v>
      </c>
    </row>
    <row r="592" spans="1:16" ht="24" customHeight="1" x14ac:dyDescent="0.25">
      <c r="A592" s="1" t="s">
        <v>601</v>
      </c>
      <c r="B592" s="1" t="s">
        <v>739</v>
      </c>
      <c r="C592" s="2" t="s">
        <v>0</v>
      </c>
      <c r="D592" s="22" t="s">
        <v>653</v>
      </c>
      <c r="E592" s="2"/>
      <c r="F592" s="22"/>
      <c r="G592" s="4" t="s">
        <v>731</v>
      </c>
      <c r="H592" s="3"/>
      <c r="I592" s="3"/>
      <c r="J592" s="1" t="s">
        <v>654</v>
      </c>
      <c r="K592" s="2" t="s">
        <v>0</v>
      </c>
      <c r="L592" s="22" t="s">
        <v>688</v>
      </c>
      <c r="M592" s="2"/>
      <c r="N592" s="22"/>
      <c r="O592" s="1" t="s">
        <v>997</v>
      </c>
      <c r="P592" s="24" t="s">
        <v>691</v>
      </c>
    </row>
    <row r="593" spans="1:16" ht="24" customHeight="1" x14ac:dyDescent="0.25">
      <c r="A593" s="1" t="s">
        <v>602</v>
      </c>
      <c r="B593" s="1" t="s">
        <v>739</v>
      </c>
      <c r="C593" s="2" t="s">
        <v>0</v>
      </c>
      <c r="D593" s="22" t="s">
        <v>654</v>
      </c>
      <c r="E593" s="2" t="s">
        <v>0</v>
      </c>
      <c r="F593" s="22" t="s">
        <v>687</v>
      </c>
      <c r="G593" s="4" t="s">
        <v>731</v>
      </c>
      <c r="H593" s="3"/>
      <c r="I593" s="3"/>
      <c r="J593" s="1" t="s">
        <v>816</v>
      </c>
      <c r="K593" s="2" t="s">
        <v>0</v>
      </c>
      <c r="L593" s="22" t="s">
        <v>687</v>
      </c>
      <c r="M593" s="2"/>
      <c r="N593" s="22"/>
      <c r="O593" s="1" t="s">
        <v>998</v>
      </c>
      <c r="P593" s="24" t="s">
        <v>1034</v>
      </c>
    </row>
    <row r="594" spans="1:16" ht="24" customHeight="1" x14ac:dyDescent="0.25">
      <c r="A594" s="1" t="s">
        <v>603</v>
      </c>
      <c r="B594" s="1" t="s">
        <v>844</v>
      </c>
      <c r="C594" s="2" t="s">
        <v>0</v>
      </c>
      <c r="D594" s="22" t="s">
        <v>740</v>
      </c>
      <c r="E594" s="2"/>
      <c r="F594" s="22"/>
      <c r="G594" s="4" t="s">
        <v>731</v>
      </c>
      <c r="H594" s="3"/>
      <c r="I594" s="3"/>
      <c r="J594" s="22" t="s">
        <v>739</v>
      </c>
      <c r="K594" s="2" t="s">
        <v>0</v>
      </c>
      <c r="L594" s="22" t="s">
        <v>739</v>
      </c>
      <c r="M594" s="2" t="s">
        <v>0</v>
      </c>
      <c r="N594" s="1" t="s">
        <v>649</v>
      </c>
      <c r="O594" s="1" t="s">
        <v>999</v>
      </c>
      <c r="P594" s="24" t="s">
        <v>690</v>
      </c>
    </row>
    <row r="595" spans="1:16" ht="24" customHeight="1" x14ac:dyDescent="0.25">
      <c r="A595" s="1" t="s">
        <v>604</v>
      </c>
      <c r="B595" s="1" t="s">
        <v>844</v>
      </c>
      <c r="C595" s="2" t="s">
        <v>0</v>
      </c>
      <c r="D595" s="22" t="s">
        <v>653</v>
      </c>
      <c r="E595" s="2"/>
      <c r="F595" s="22"/>
      <c r="G595" s="4" t="s">
        <v>731</v>
      </c>
      <c r="H595" s="3"/>
      <c r="I595" s="3"/>
      <c r="J595" s="1" t="s">
        <v>654</v>
      </c>
      <c r="K595" s="2" t="s">
        <v>0</v>
      </c>
      <c r="L595" s="22" t="s">
        <v>739</v>
      </c>
      <c r="M595" s="2"/>
      <c r="N595" s="22"/>
      <c r="O595" s="1" t="s">
        <v>1000</v>
      </c>
      <c r="P595" s="24" t="s">
        <v>691</v>
      </c>
    </row>
    <row r="596" spans="1:16" ht="24" customHeight="1" x14ac:dyDescent="0.25">
      <c r="A596" s="1" t="s">
        <v>605</v>
      </c>
      <c r="B596" s="1" t="s">
        <v>844</v>
      </c>
      <c r="C596" s="2" t="s">
        <v>0</v>
      </c>
      <c r="D596" s="22" t="s">
        <v>654</v>
      </c>
      <c r="E596" s="2"/>
      <c r="F596" s="22"/>
      <c r="G596" s="4" t="s">
        <v>731</v>
      </c>
      <c r="H596" s="3"/>
      <c r="I596" s="3"/>
      <c r="J596" s="22" t="s">
        <v>767</v>
      </c>
      <c r="K596" s="2" t="s">
        <v>0</v>
      </c>
      <c r="L596" s="22" t="s">
        <v>739</v>
      </c>
      <c r="M596" s="2"/>
      <c r="N596" s="22"/>
      <c r="O596" s="1" t="s">
        <v>856</v>
      </c>
      <c r="P596" s="24" t="s">
        <v>1036</v>
      </c>
    </row>
    <row r="597" spans="1:16" ht="24" customHeight="1" x14ac:dyDescent="0.25">
      <c r="A597" s="1" t="s">
        <v>606</v>
      </c>
      <c r="B597" s="1" t="s">
        <v>844</v>
      </c>
      <c r="C597" s="2" t="s">
        <v>0</v>
      </c>
      <c r="D597" s="22" t="s">
        <v>767</v>
      </c>
      <c r="E597" s="2"/>
      <c r="F597" s="22"/>
      <c r="G597" s="4" t="s">
        <v>731</v>
      </c>
      <c r="H597" s="3"/>
      <c r="I597" s="3"/>
      <c r="J597" s="22" t="s">
        <v>739</v>
      </c>
      <c r="K597" s="2" t="s">
        <v>0</v>
      </c>
      <c r="L597" s="1" t="s">
        <v>654</v>
      </c>
      <c r="M597" s="2" t="s">
        <v>0</v>
      </c>
      <c r="N597" s="1" t="s">
        <v>649</v>
      </c>
      <c r="O597" s="1" t="s">
        <v>1001</v>
      </c>
      <c r="P597" s="24" t="s">
        <v>807</v>
      </c>
    </row>
    <row r="598" spans="1:16" ht="24" customHeight="1" x14ac:dyDescent="0.25">
      <c r="A598" s="1" t="s">
        <v>607</v>
      </c>
      <c r="B598" s="1" t="s">
        <v>844</v>
      </c>
      <c r="C598" s="2" t="s">
        <v>0</v>
      </c>
      <c r="D598" s="22" t="s">
        <v>767</v>
      </c>
      <c r="E598" s="2"/>
      <c r="F598" s="22"/>
      <c r="G598" s="4" t="s">
        <v>731</v>
      </c>
      <c r="H598" s="3"/>
      <c r="I598" s="3"/>
      <c r="J598" s="1" t="s">
        <v>816</v>
      </c>
      <c r="K598" s="2" t="s">
        <v>0</v>
      </c>
      <c r="L598" s="1" t="s">
        <v>649</v>
      </c>
      <c r="M598" s="2"/>
      <c r="N598" s="22"/>
      <c r="O598" s="1" t="s">
        <v>1002</v>
      </c>
      <c r="P598" s="24" t="s">
        <v>1031</v>
      </c>
    </row>
    <row r="599" spans="1:16" ht="24" customHeight="1" x14ac:dyDescent="0.25">
      <c r="A599" s="1" t="s">
        <v>608</v>
      </c>
      <c r="B599" s="1" t="s">
        <v>845</v>
      </c>
      <c r="C599" s="2" t="s">
        <v>0</v>
      </c>
      <c r="D599" s="22" t="s">
        <v>687</v>
      </c>
      <c r="E599" s="2"/>
      <c r="F599" s="22"/>
      <c r="G599" s="4" t="s">
        <v>731</v>
      </c>
      <c r="H599" s="3"/>
      <c r="I599" s="3"/>
      <c r="J599" s="1" t="s">
        <v>688</v>
      </c>
      <c r="K599" s="2" t="s">
        <v>0</v>
      </c>
      <c r="L599" s="22" t="s">
        <v>739</v>
      </c>
      <c r="M599" s="2" t="s">
        <v>0</v>
      </c>
      <c r="N599" s="22" t="s">
        <v>687</v>
      </c>
      <c r="O599" s="1" t="s">
        <v>1003</v>
      </c>
      <c r="P599" s="24" t="s">
        <v>1035</v>
      </c>
    </row>
    <row r="600" spans="1:16" ht="24" customHeight="1" x14ac:dyDescent="0.25">
      <c r="A600" s="1" t="s">
        <v>609</v>
      </c>
      <c r="B600" s="1" t="s">
        <v>843</v>
      </c>
      <c r="C600" s="2" t="s">
        <v>0</v>
      </c>
      <c r="D600" s="22" t="s">
        <v>687</v>
      </c>
      <c r="E600" s="2"/>
      <c r="F600" s="22"/>
      <c r="G600" s="4" t="s">
        <v>731</v>
      </c>
      <c r="H600" s="3"/>
      <c r="I600" s="3"/>
      <c r="J600" s="22" t="s">
        <v>739</v>
      </c>
      <c r="K600" s="2" t="s">
        <v>0</v>
      </c>
      <c r="L600" s="22" t="s">
        <v>739</v>
      </c>
      <c r="M600" s="2" t="s">
        <v>0</v>
      </c>
      <c r="N600" s="22" t="s">
        <v>687</v>
      </c>
      <c r="O600" s="1" t="s">
        <v>1004</v>
      </c>
      <c r="P600" s="24" t="s">
        <v>1035</v>
      </c>
    </row>
    <row r="601" spans="1:16" ht="24" customHeight="1" x14ac:dyDescent="0.25">
      <c r="A601" s="1" t="s">
        <v>610</v>
      </c>
      <c r="B601" s="1" t="s">
        <v>674</v>
      </c>
      <c r="C601" s="2" t="s">
        <v>0</v>
      </c>
      <c r="D601" s="22" t="s">
        <v>687</v>
      </c>
      <c r="E601" s="2"/>
      <c r="F601" s="22"/>
      <c r="G601" s="4" t="s">
        <v>731</v>
      </c>
      <c r="H601" s="3"/>
      <c r="I601" s="3"/>
      <c r="J601" s="22" t="s">
        <v>739</v>
      </c>
      <c r="K601" s="2" t="s">
        <v>0</v>
      </c>
      <c r="L601" s="22" t="s">
        <v>740</v>
      </c>
      <c r="M601" s="2" t="s">
        <v>0</v>
      </c>
      <c r="N601" s="22" t="s">
        <v>687</v>
      </c>
      <c r="O601" s="1" t="s">
        <v>1005</v>
      </c>
      <c r="P601" s="24" t="s">
        <v>1036</v>
      </c>
    </row>
    <row r="602" spans="1:16" ht="24" customHeight="1" x14ac:dyDescent="0.25">
      <c r="A602" s="1" t="s">
        <v>611</v>
      </c>
      <c r="B602" s="1" t="s">
        <v>653</v>
      </c>
      <c r="C602" s="2" t="s">
        <v>0</v>
      </c>
      <c r="D602" s="22" t="s">
        <v>649</v>
      </c>
      <c r="E602" s="2" t="s">
        <v>0</v>
      </c>
      <c r="F602" s="22" t="s">
        <v>687</v>
      </c>
      <c r="G602" s="4" t="s">
        <v>731</v>
      </c>
      <c r="H602" s="3"/>
      <c r="I602" s="3"/>
      <c r="J602" s="22" t="s">
        <v>767</v>
      </c>
      <c r="K602" s="2" t="s">
        <v>0</v>
      </c>
      <c r="L602" s="22" t="s">
        <v>687</v>
      </c>
      <c r="M602" s="2"/>
      <c r="N602" s="22"/>
      <c r="O602" s="1" t="s">
        <v>1006</v>
      </c>
      <c r="P602" s="24" t="s">
        <v>1036</v>
      </c>
    </row>
    <row r="603" spans="1:16" ht="24" customHeight="1" x14ac:dyDescent="0.25">
      <c r="A603" s="1" t="s">
        <v>612</v>
      </c>
      <c r="B603" s="1" t="s">
        <v>653</v>
      </c>
      <c r="C603" s="2" t="s">
        <v>0</v>
      </c>
      <c r="D603" s="22" t="s">
        <v>653</v>
      </c>
      <c r="E603" s="2" t="s">
        <v>0</v>
      </c>
      <c r="F603" s="22" t="s">
        <v>687</v>
      </c>
      <c r="G603" s="4" t="s">
        <v>731</v>
      </c>
      <c r="H603" s="3"/>
      <c r="I603" s="3"/>
      <c r="J603" s="1" t="s">
        <v>699</v>
      </c>
      <c r="K603" s="2" t="s">
        <v>0</v>
      </c>
      <c r="L603" s="22" t="s">
        <v>687</v>
      </c>
      <c r="M603" s="2"/>
      <c r="N603" s="22"/>
      <c r="O603" s="1" t="s">
        <v>1007</v>
      </c>
      <c r="P603" s="24" t="s">
        <v>1037</v>
      </c>
    </row>
    <row r="604" spans="1:16" ht="24" customHeight="1" x14ac:dyDescent="0.25">
      <c r="A604" s="1" t="s">
        <v>613</v>
      </c>
      <c r="B604" s="1" t="s">
        <v>653</v>
      </c>
      <c r="C604" s="2" t="s">
        <v>0</v>
      </c>
      <c r="D604" s="22" t="s">
        <v>654</v>
      </c>
      <c r="E604" s="2" t="s">
        <v>0</v>
      </c>
      <c r="F604" s="22" t="s">
        <v>687</v>
      </c>
      <c r="G604" s="4" t="s">
        <v>731</v>
      </c>
      <c r="H604" s="3"/>
      <c r="I604" s="3"/>
      <c r="J604" s="1" t="s">
        <v>812</v>
      </c>
      <c r="K604" s="2" t="s">
        <v>0</v>
      </c>
      <c r="L604" s="22" t="s">
        <v>687</v>
      </c>
      <c r="M604" s="2"/>
      <c r="N604" s="22"/>
      <c r="O604" s="1" t="s">
        <v>1008</v>
      </c>
      <c r="P604" s="24" t="s">
        <v>1037</v>
      </c>
    </row>
    <row r="605" spans="1:16" ht="24" customHeight="1" x14ac:dyDescent="0.25">
      <c r="A605" s="1" t="s">
        <v>614</v>
      </c>
      <c r="B605" s="1" t="s">
        <v>653</v>
      </c>
      <c r="C605" s="2" t="s">
        <v>0</v>
      </c>
      <c r="D605" s="22" t="s">
        <v>840</v>
      </c>
      <c r="E605" s="2"/>
      <c r="F605" s="22"/>
      <c r="G605" s="4" t="s">
        <v>731</v>
      </c>
      <c r="H605" s="3"/>
      <c r="I605" s="3"/>
      <c r="J605" s="1" t="s">
        <v>654</v>
      </c>
      <c r="K605" s="2" t="s">
        <v>0</v>
      </c>
      <c r="L605" s="1" t="s">
        <v>812</v>
      </c>
      <c r="M605" s="2"/>
      <c r="N605" s="22"/>
      <c r="O605" s="1" t="s">
        <v>1009</v>
      </c>
      <c r="P605" s="24" t="s">
        <v>1035</v>
      </c>
    </row>
    <row r="606" spans="1:16" ht="24" customHeight="1" x14ac:dyDescent="0.25">
      <c r="A606" s="1" t="s">
        <v>615</v>
      </c>
      <c r="B606" s="1" t="s">
        <v>653</v>
      </c>
      <c r="C606" s="2" t="s">
        <v>0</v>
      </c>
      <c r="D606" s="22" t="s">
        <v>840</v>
      </c>
      <c r="E606" s="2"/>
      <c r="F606" s="22"/>
      <c r="G606" s="4" t="s">
        <v>731</v>
      </c>
      <c r="H606" s="3"/>
      <c r="I606" s="3"/>
      <c r="J606" s="22" t="s">
        <v>767</v>
      </c>
      <c r="K606" s="2" t="s">
        <v>0</v>
      </c>
      <c r="L606" s="1" t="s">
        <v>699</v>
      </c>
      <c r="M606" s="2"/>
      <c r="N606" s="22"/>
      <c r="O606" s="1" t="s">
        <v>1010</v>
      </c>
      <c r="P606" s="24" t="s">
        <v>691</v>
      </c>
    </row>
    <row r="607" spans="1:16" ht="24" customHeight="1" x14ac:dyDescent="0.25">
      <c r="A607" s="1" t="s">
        <v>616</v>
      </c>
      <c r="B607" s="1" t="s">
        <v>653</v>
      </c>
      <c r="C607" s="2" t="s">
        <v>0</v>
      </c>
      <c r="D607" s="22" t="s">
        <v>767</v>
      </c>
      <c r="E607" s="2"/>
      <c r="F607" s="22"/>
      <c r="G607" s="4" t="s">
        <v>731</v>
      </c>
      <c r="H607" s="3"/>
      <c r="I607" s="3"/>
      <c r="J607" s="1" t="s">
        <v>699</v>
      </c>
      <c r="K607" s="2" t="s">
        <v>0</v>
      </c>
      <c r="L607" s="22" t="s">
        <v>649</v>
      </c>
      <c r="M607" s="2"/>
      <c r="N607" s="22"/>
      <c r="O607" s="1" t="s">
        <v>1011</v>
      </c>
      <c r="P607" s="24" t="s">
        <v>1036</v>
      </c>
    </row>
    <row r="608" spans="1:16" ht="24" customHeight="1" x14ac:dyDescent="0.25">
      <c r="A608" s="1" t="s">
        <v>617</v>
      </c>
      <c r="B608" s="1" t="s">
        <v>653</v>
      </c>
      <c r="C608" s="2" t="s">
        <v>0</v>
      </c>
      <c r="D608" s="22" t="s">
        <v>767</v>
      </c>
      <c r="E608" s="2"/>
      <c r="F608" s="22"/>
      <c r="G608" s="4" t="s">
        <v>731</v>
      </c>
      <c r="H608" s="3"/>
      <c r="I608" s="3"/>
      <c r="J608" s="1" t="s">
        <v>639</v>
      </c>
      <c r="K608" s="2" t="s">
        <v>0</v>
      </c>
      <c r="L608" s="1" t="s">
        <v>812</v>
      </c>
      <c r="M608" s="2"/>
      <c r="N608" s="22"/>
      <c r="O608" s="1" t="s">
        <v>1012</v>
      </c>
      <c r="P608" s="24" t="s">
        <v>1036</v>
      </c>
    </row>
    <row r="609" spans="1:16" ht="24" customHeight="1" x14ac:dyDescent="0.25">
      <c r="A609" s="1" t="s">
        <v>618</v>
      </c>
      <c r="B609" s="1" t="s">
        <v>653</v>
      </c>
      <c r="C609" s="2" t="s">
        <v>0</v>
      </c>
      <c r="D609" s="22" t="s">
        <v>767</v>
      </c>
      <c r="E609" s="2"/>
      <c r="F609" s="22"/>
      <c r="G609" s="4" t="s">
        <v>731</v>
      </c>
      <c r="H609" s="3"/>
      <c r="I609" s="3"/>
      <c r="J609" s="1" t="s">
        <v>654</v>
      </c>
      <c r="K609" s="2" t="s">
        <v>0</v>
      </c>
      <c r="L609" s="22" t="s">
        <v>654</v>
      </c>
      <c r="M609" s="2"/>
      <c r="N609" s="22"/>
      <c r="O609" s="1" t="s">
        <v>1013</v>
      </c>
      <c r="P609" s="24" t="s">
        <v>691</v>
      </c>
    </row>
    <row r="610" spans="1:16" ht="24" customHeight="1" x14ac:dyDescent="0.25">
      <c r="A610" s="1" t="s">
        <v>619</v>
      </c>
      <c r="B610" s="1" t="s">
        <v>653</v>
      </c>
      <c r="C610" s="2" t="s">
        <v>0</v>
      </c>
      <c r="D610" s="22" t="s">
        <v>811</v>
      </c>
      <c r="E610" s="2"/>
      <c r="F610" s="22"/>
      <c r="G610" s="4" t="s">
        <v>731</v>
      </c>
      <c r="H610" s="3"/>
      <c r="I610" s="3"/>
      <c r="J610" s="1" t="s">
        <v>688</v>
      </c>
      <c r="K610" s="2" t="s">
        <v>0</v>
      </c>
      <c r="L610" s="1" t="s">
        <v>699</v>
      </c>
      <c r="M610" s="2"/>
      <c r="N610" s="22"/>
      <c r="O610" s="1" t="s">
        <v>1014</v>
      </c>
      <c r="P610" s="24" t="s">
        <v>1034</v>
      </c>
    </row>
    <row r="611" spans="1:16" ht="24" customHeight="1" x14ac:dyDescent="0.25">
      <c r="A611" s="1" t="s">
        <v>620</v>
      </c>
      <c r="B611" s="1" t="s">
        <v>653</v>
      </c>
      <c r="C611" s="2" t="s">
        <v>0</v>
      </c>
      <c r="D611" s="22" t="s">
        <v>818</v>
      </c>
      <c r="E611" s="2"/>
      <c r="F611" s="22"/>
      <c r="G611" s="4" t="s">
        <v>731</v>
      </c>
      <c r="H611" s="3"/>
      <c r="I611" s="3"/>
      <c r="J611" s="22" t="s">
        <v>739</v>
      </c>
      <c r="K611" s="2" t="s">
        <v>0</v>
      </c>
      <c r="L611" s="1" t="s">
        <v>699</v>
      </c>
      <c r="M611" s="2"/>
      <c r="N611" s="22"/>
      <c r="O611" s="1" t="s">
        <v>1015</v>
      </c>
      <c r="P611" s="24" t="s">
        <v>1034</v>
      </c>
    </row>
    <row r="612" spans="1:16" ht="24" customHeight="1" x14ac:dyDescent="0.25">
      <c r="A612" s="1" t="s">
        <v>621</v>
      </c>
      <c r="B612" s="1" t="s">
        <v>653</v>
      </c>
      <c r="C612" s="2" t="s">
        <v>0</v>
      </c>
      <c r="D612" s="22" t="s">
        <v>846</v>
      </c>
      <c r="E612" s="2"/>
      <c r="F612" s="22"/>
      <c r="G612" s="4" t="s">
        <v>731</v>
      </c>
      <c r="H612" s="3"/>
      <c r="I612" s="3"/>
      <c r="J612" s="22" t="s">
        <v>739</v>
      </c>
      <c r="K612" s="2" t="s">
        <v>0</v>
      </c>
      <c r="L612" s="1" t="s">
        <v>812</v>
      </c>
      <c r="M612" s="2"/>
      <c r="N612" s="22"/>
      <c r="O612" s="1" t="s">
        <v>1016</v>
      </c>
      <c r="P612" s="24" t="s">
        <v>1035</v>
      </c>
    </row>
    <row r="613" spans="1:16" ht="24" customHeight="1" x14ac:dyDescent="0.25">
      <c r="A613" s="1" t="s">
        <v>622</v>
      </c>
      <c r="B613" s="1" t="s">
        <v>699</v>
      </c>
      <c r="C613" s="2" t="s">
        <v>0</v>
      </c>
      <c r="D613" s="22" t="s">
        <v>654</v>
      </c>
      <c r="E613" s="2"/>
      <c r="F613" s="22"/>
      <c r="G613" s="4" t="s">
        <v>731</v>
      </c>
      <c r="H613" s="3"/>
      <c r="I613" s="3"/>
      <c r="J613" s="1" t="s">
        <v>653</v>
      </c>
      <c r="K613" s="2" t="s">
        <v>0</v>
      </c>
      <c r="L613" s="1" t="s">
        <v>812</v>
      </c>
      <c r="M613" s="2"/>
      <c r="N613" s="22"/>
      <c r="O613" s="1" t="s">
        <v>1017</v>
      </c>
      <c r="P613" s="24" t="s">
        <v>691</v>
      </c>
    </row>
    <row r="614" spans="1:16" ht="24" customHeight="1" x14ac:dyDescent="0.25">
      <c r="A614" s="1" t="s">
        <v>623</v>
      </c>
      <c r="B614" s="1" t="s">
        <v>654</v>
      </c>
      <c r="C614" s="2" t="s">
        <v>0</v>
      </c>
      <c r="D614" s="22" t="s">
        <v>654</v>
      </c>
      <c r="E614" s="2"/>
      <c r="F614" s="22"/>
      <c r="G614" s="4" t="s">
        <v>731</v>
      </c>
      <c r="H614" s="3"/>
      <c r="I614" s="3"/>
      <c r="J614" s="1" t="s">
        <v>639</v>
      </c>
      <c r="K614" s="2" t="s">
        <v>0</v>
      </c>
      <c r="L614" s="1" t="s">
        <v>812</v>
      </c>
      <c r="M614" s="2"/>
      <c r="N614" s="22"/>
      <c r="O614" s="1" t="s">
        <v>1018</v>
      </c>
      <c r="P614" s="24" t="s">
        <v>691</v>
      </c>
    </row>
    <row r="615" spans="1:16" ht="24" customHeight="1" x14ac:dyDescent="0.25">
      <c r="A615" s="1" t="s">
        <v>624</v>
      </c>
      <c r="B615" s="1" t="s">
        <v>654</v>
      </c>
      <c r="C615" s="2" t="s">
        <v>0</v>
      </c>
      <c r="D615" s="22" t="s">
        <v>654</v>
      </c>
      <c r="E615" s="2" t="s">
        <v>0</v>
      </c>
      <c r="F615" s="22" t="s">
        <v>687</v>
      </c>
      <c r="G615" s="4" t="s">
        <v>731</v>
      </c>
      <c r="H615" s="3"/>
      <c r="I615" s="3"/>
      <c r="J615" s="22" t="s">
        <v>840</v>
      </c>
      <c r="K615" s="2" t="s">
        <v>0</v>
      </c>
      <c r="L615" s="22" t="s">
        <v>687</v>
      </c>
      <c r="M615" s="2"/>
      <c r="N615" s="22"/>
      <c r="O615" s="1" t="s">
        <v>1019</v>
      </c>
      <c r="P615" s="24" t="s">
        <v>1031</v>
      </c>
    </row>
    <row r="616" spans="1:16" ht="24" customHeight="1" x14ac:dyDescent="0.25">
      <c r="A616" s="1" t="s">
        <v>625</v>
      </c>
      <c r="B616" s="1" t="s">
        <v>654</v>
      </c>
      <c r="C616" s="2" t="s">
        <v>0</v>
      </c>
      <c r="D616" s="22" t="s">
        <v>767</v>
      </c>
      <c r="E616" s="2"/>
      <c r="F616" s="22"/>
      <c r="G616" s="4" t="s">
        <v>731</v>
      </c>
      <c r="H616" s="3"/>
      <c r="I616" s="3"/>
      <c r="J616" s="22" t="s">
        <v>649</v>
      </c>
      <c r="K616" s="2" t="s">
        <v>0</v>
      </c>
      <c r="L616" s="1" t="s">
        <v>812</v>
      </c>
      <c r="M616" s="2"/>
      <c r="N616" s="22"/>
      <c r="O616" s="1" t="s">
        <v>1020</v>
      </c>
      <c r="P616" s="24" t="s">
        <v>1036</v>
      </c>
    </row>
    <row r="617" spans="1:16" ht="24" customHeight="1" x14ac:dyDescent="0.25">
      <c r="A617" s="1" t="s">
        <v>626</v>
      </c>
      <c r="B617" s="1" t="s">
        <v>654</v>
      </c>
      <c r="C617" s="2" t="s">
        <v>0</v>
      </c>
      <c r="D617" s="22" t="s">
        <v>840</v>
      </c>
      <c r="E617" s="2"/>
      <c r="F617" s="22"/>
      <c r="G617" s="4" t="s">
        <v>731</v>
      </c>
      <c r="H617" s="3"/>
      <c r="I617" s="3"/>
      <c r="J617" s="22" t="s">
        <v>767</v>
      </c>
      <c r="K617" s="2" t="s">
        <v>0</v>
      </c>
      <c r="L617" s="1" t="s">
        <v>812</v>
      </c>
      <c r="M617" s="2"/>
      <c r="N617" s="22"/>
      <c r="O617" s="1" t="s">
        <v>1021</v>
      </c>
      <c r="P617" s="24" t="s">
        <v>1036</v>
      </c>
    </row>
    <row r="618" spans="1:16" ht="24" customHeight="1" x14ac:dyDescent="0.25">
      <c r="A618" s="1" t="s">
        <v>627</v>
      </c>
      <c r="B618" s="1" t="s">
        <v>654</v>
      </c>
      <c r="C618" s="2" t="s">
        <v>0</v>
      </c>
      <c r="D618" s="22" t="s">
        <v>811</v>
      </c>
      <c r="E618" s="2"/>
      <c r="F618" s="22"/>
      <c r="G618" s="4" t="s">
        <v>731</v>
      </c>
      <c r="H618" s="3"/>
      <c r="I618" s="3"/>
      <c r="J618" s="1" t="s">
        <v>688</v>
      </c>
      <c r="K618" s="2" t="s">
        <v>0</v>
      </c>
      <c r="L618" s="1" t="s">
        <v>812</v>
      </c>
      <c r="M618" s="2"/>
      <c r="N618" s="22"/>
      <c r="O618" s="1" t="s">
        <v>1022</v>
      </c>
      <c r="P618" s="24" t="s">
        <v>1034</v>
      </c>
    </row>
    <row r="619" spans="1:16" ht="24" customHeight="1" x14ac:dyDescent="0.25">
      <c r="A619" s="1" t="s">
        <v>628</v>
      </c>
      <c r="B619" s="1" t="s">
        <v>654</v>
      </c>
      <c r="C619" s="2" t="s">
        <v>0</v>
      </c>
      <c r="D619" s="22" t="s">
        <v>818</v>
      </c>
      <c r="E619" s="2"/>
      <c r="F619" s="22"/>
      <c r="G619" s="4" t="s">
        <v>731</v>
      </c>
      <c r="H619" s="3"/>
      <c r="I619" s="3"/>
      <c r="J619" s="22" t="s">
        <v>739</v>
      </c>
      <c r="K619" s="2" t="s">
        <v>0</v>
      </c>
      <c r="L619" s="1" t="s">
        <v>812</v>
      </c>
      <c r="M619" s="2"/>
      <c r="N619" s="22"/>
      <c r="O619" s="1" t="s">
        <v>1023</v>
      </c>
      <c r="P619" s="24" t="s">
        <v>1031</v>
      </c>
    </row>
    <row r="620" spans="1:16" ht="24" customHeight="1" x14ac:dyDescent="0.25">
      <c r="A620" s="1" t="s">
        <v>629</v>
      </c>
      <c r="B620" s="1" t="s">
        <v>654</v>
      </c>
      <c r="C620" s="2" t="s">
        <v>0</v>
      </c>
      <c r="D620" s="22" t="s">
        <v>846</v>
      </c>
      <c r="E620" s="2"/>
      <c r="F620" s="22"/>
      <c r="G620" s="4" t="s">
        <v>731</v>
      </c>
      <c r="H620" s="3"/>
      <c r="I620" s="3"/>
      <c r="J620" s="22" t="s">
        <v>844</v>
      </c>
      <c r="K620" s="2" t="s">
        <v>0</v>
      </c>
      <c r="L620" s="1" t="s">
        <v>812</v>
      </c>
      <c r="M620" s="2"/>
      <c r="N620" s="22"/>
      <c r="O620" s="1" t="s">
        <v>1024</v>
      </c>
      <c r="P620" s="24" t="s">
        <v>1034</v>
      </c>
    </row>
    <row r="621" spans="1:16" ht="24" customHeight="1" x14ac:dyDescent="0.25">
      <c r="A621" s="1" t="s">
        <v>630</v>
      </c>
      <c r="B621" s="22" t="s">
        <v>767</v>
      </c>
      <c r="C621" s="2" t="s">
        <v>0</v>
      </c>
      <c r="D621" s="22" t="s">
        <v>767</v>
      </c>
      <c r="E621" s="2"/>
      <c r="F621" s="22"/>
      <c r="G621" s="4" t="s">
        <v>731</v>
      </c>
      <c r="H621" s="3"/>
      <c r="I621" s="3"/>
      <c r="J621" s="22" t="s">
        <v>840</v>
      </c>
      <c r="K621" s="2" t="s">
        <v>0</v>
      </c>
      <c r="L621" s="22" t="s">
        <v>649</v>
      </c>
      <c r="M621" s="2"/>
      <c r="N621" s="22"/>
      <c r="O621" s="1" t="s">
        <v>1025</v>
      </c>
      <c r="P621" s="24" t="s">
        <v>1036</v>
      </c>
    </row>
    <row r="622" spans="1:16" ht="24" customHeight="1" x14ac:dyDescent="0.25">
      <c r="A622" s="1" t="s">
        <v>631</v>
      </c>
      <c r="B622" s="1" t="s">
        <v>811</v>
      </c>
      <c r="C622" s="2" t="s">
        <v>0</v>
      </c>
      <c r="D622" s="22" t="s">
        <v>649</v>
      </c>
      <c r="E622" s="2"/>
      <c r="F622" s="22"/>
      <c r="G622" s="4" t="s">
        <v>731</v>
      </c>
      <c r="H622" s="3"/>
      <c r="I622" s="3"/>
      <c r="J622" s="1" t="s">
        <v>688</v>
      </c>
      <c r="K622" s="2" t="s">
        <v>0</v>
      </c>
      <c r="L622" s="22" t="s">
        <v>767</v>
      </c>
      <c r="M622" s="2"/>
      <c r="N622" s="22"/>
      <c r="O622" s="1" t="s">
        <v>1026</v>
      </c>
      <c r="P622" s="24" t="s">
        <v>1031</v>
      </c>
    </row>
    <row r="623" spans="1:16" ht="24" customHeight="1" x14ac:dyDescent="0.25">
      <c r="A623" s="1" t="s">
        <v>632</v>
      </c>
      <c r="B623" s="1" t="s">
        <v>811</v>
      </c>
      <c r="C623" s="2" t="s">
        <v>0</v>
      </c>
      <c r="D623" s="22" t="s">
        <v>649</v>
      </c>
      <c r="E623" s="2"/>
      <c r="F623" s="22"/>
      <c r="G623" s="4" t="s">
        <v>731</v>
      </c>
      <c r="H623" s="3"/>
      <c r="I623" s="3"/>
      <c r="J623" s="22" t="s">
        <v>739</v>
      </c>
      <c r="K623" s="2" t="s">
        <v>0</v>
      </c>
      <c r="L623" s="22" t="s">
        <v>654</v>
      </c>
      <c r="M623" s="2"/>
      <c r="N623" s="22"/>
      <c r="O623" s="1" t="s">
        <v>1027</v>
      </c>
      <c r="P623" s="24" t="s">
        <v>756</v>
      </c>
    </row>
    <row r="624" spans="1:16" ht="24" customHeight="1" x14ac:dyDescent="0.25">
      <c r="A624" s="1" t="s">
        <v>633</v>
      </c>
      <c r="B624" s="1" t="s">
        <v>811</v>
      </c>
      <c r="C624" s="2" t="s">
        <v>0</v>
      </c>
      <c r="D624" s="22" t="s">
        <v>811</v>
      </c>
      <c r="E624" s="2"/>
      <c r="F624" s="22"/>
      <c r="G624" s="4" t="s">
        <v>731</v>
      </c>
      <c r="H624" s="3"/>
      <c r="I624" s="3"/>
      <c r="J624" s="1" t="s">
        <v>738</v>
      </c>
      <c r="K624" s="2" t="s">
        <v>0</v>
      </c>
      <c r="L624" s="1" t="s">
        <v>812</v>
      </c>
      <c r="M624" s="2"/>
      <c r="N624" s="22"/>
      <c r="O624" s="1" t="s">
        <v>1028</v>
      </c>
      <c r="P624" s="24" t="s">
        <v>756</v>
      </c>
    </row>
    <row r="625" spans="1:16" ht="24" customHeight="1" x14ac:dyDescent="0.25">
      <c r="A625" s="1" t="s">
        <v>634</v>
      </c>
      <c r="B625" s="22" t="s">
        <v>818</v>
      </c>
      <c r="C625" s="2" t="s">
        <v>0</v>
      </c>
      <c r="D625" s="22" t="s">
        <v>818</v>
      </c>
      <c r="E625" s="2"/>
      <c r="F625" s="22"/>
      <c r="G625" s="4" t="s">
        <v>731</v>
      </c>
      <c r="H625" s="3"/>
      <c r="I625" s="3"/>
      <c r="J625" s="1" t="s">
        <v>688</v>
      </c>
      <c r="K625" s="2" t="s">
        <v>0</v>
      </c>
      <c r="L625" s="22" t="s">
        <v>739</v>
      </c>
      <c r="M625" s="2" t="s">
        <v>0</v>
      </c>
      <c r="N625" s="1" t="s">
        <v>812</v>
      </c>
      <c r="O625" s="1" t="s">
        <v>1029</v>
      </c>
      <c r="P625" s="24" t="s">
        <v>756</v>
      </c>
    </row>
    <row r="626" spans="1:16" ht="24" customHeight="1" x14ac:dyDescent="0.25">
      <c r="A626" s="1" t="s">
        <v>635</v>
      </c>
      <c r="B626" s="22" t="s">
        <v>818</v>
      </c>
      <c r="C626" s="2" t="s">
        <v>0</v>
      </c>
      <c r="D626" s="22" t="s">
        <v>846</v>
      </c>
      <c r="E626" s="2"/>
      <c r="F626" s="22"/>
      <c r="G626" s="4" t="s">
        <v>731</v>
      </c>
      <c r="H626" s="3"/>
      <c r="I626" s="3"/>
      <c r="J626" s="22" t="s">
        <v>739</v>
      </c>
      <c r="K626" s="2" t="s">
        <v>0</v>
      </c>
      <c r="L626" s="22" t="s">
        <v>739</v>
      </c>
      <c r="M626" s="2" t="s">
        <v>0</v>
      </c>
      <c r="N626" s="1" t="s">
        <v>812</v>
      </c>
      <c r="O626" s="1" t="s">
        <v>1030</v>
      </c>
      <c r="P626" s="24" t="s">
        <v>756</v>
      </c>
    </row>
  </sheetData>
  <autoFilter ref="A2:P626" xr:uid="{00000000-0009-0000-0000-000001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 filterMode="1">
    <tabColor theme="6"/>
  </sheetPr>
  <dimension ref="A1:AB657"/>
  <sheetViews>
    <sheetView showGridLines="0" tabSelected="1" zoomScale="85" zoomScaleNormal="85" workbookViewId="0">
      <selection activeCell="B574" sqref="B574:O574"/>
    </sheetView>
  </sheetViews>
  <sheetFormatPr defaultRowHeight="15" x14ac:dyDescent="0.25"/>
  <cols>
    <col min="1" max="1" width="7" style="13" customWidth="1"/>
    <col min="2" max="2" width="8.75" style="25" customWidth="1"/>
    <col min="3" max="3" width="3.625" style="20" customWidth="1"/>
    <col min="4" max="4" width="11.375" style="13" customWidth="1"/>
    <col min="5" max="5" width="3.625" style="20" customWidth="1"/>
    <col min="6" max="6" width="7.875" style="13" customWidth="1"/>
    <col min="7" max="7" width="3.625" style="13" customWidth="1"/>
    <col min="8" max="8" width="12" style="32" bestFit="1" customWidth="1"/>
    <col min="9" max="9" width="3.625" style="13" customWidth="1"/>
    <col min="10" max="10" width="9.125" style="31" customWidth="1"/>
    <col min="11" max="11" width="3.625" style="20" customWidth="1"/>
    <col min="12" max="12" width="7.875" style="25" customWidth="1"/>
    <col min="13" max="13" width="3.625" style="20" customWidth="1"/>
    <col min="14" max="14" width="7.875" style="13" customWidth="1"/>
    <col min="15" max="16" width="12.5" style="13" customWidth="1"/>
    <col min="17" max="17" width="32.125" style="29" bestFit="1" customWidth="1"/>
    <col min="18" max="18" width="29.25" style="25" customWidth="1"/>
    <col min="19" max="19" width="16.25" style="25" bestFit="1" customWidth="1"/>
    <col min="20" max="20" width="18.75" style="25" customWidth="1"/>
    <col min="21" max="21" width="13.25" style="25" customWidth="1"/>
    <col min="22" max="23" width="14.5" style="13" customWidth="1"/>
    <col min="24" max="24" width="13.125" style="25" customWidth="1"/>
    <col min="25" max="25" width="29" style="25" bestFit="1" customWidth="1"/>
    <col min="26" max="26" width="13" style="25" customWidth="1"/>
    <col min="27" max="27" width="12.5" style="13" bestFit="1" customWidth="1"/>
    <col min="28" max="28" width="9.25" style="13" customWidth="1"/>
    <col min="29" max="16384" width="9" style="13"/>
  </cols>
  <sheetData>
    <row r="1" spans="1:28" ht="24" customHeight="1" x14ac:dyDescent="0.25">
      <c r="A1" s="27" t="s">
        <v>1041</v>
      </c>
      <c r="B1" s="13">
        <v>2.359</v>
      </c>
      <c r="D1" s="111" t="s">
        <v>1043</v>
      </c>
      <c r="F1" s="28">
        <f>(Ee/AA1)*(2/3)</f>
        <v>18250.744652044406</v>
      </c>
      <c r="G1" s="13" t="s">
        <v>1044</v>
      </c>
      <c r="I1" s="13" t="s">
        <v>1040</v>
      </c>
      <c r="J1" s="28">
        <f>273+30</f>
        <v>303</v>
      </c>
      <c r="K1" s="13" t="s">
        <v>1044</v>
      </c>
      <c r="N1" s="13" t="s">
        <v>1047</v>
      </c>
      <c r="O1" s="13">
        <f>2.7*10^25</f>
        <v>2.7000000000000004E+25</v>
      </c>
      <c r="Q1" s="13" t="s">
        <v>1048</v>
      </c>
      <c r="S1" s="25" t="s">
        <v>1553</v>
      </c>
      <c r="T1" s="25">
        <f>Tg</f>
        <v>303</v>
      </c>
      <c r="V1" s="13" t="s">
        <v>1440</v>
      </c>
      <c r="W1" s="13" t="s">
        <v>730</v>
      </c>
      <c r="Z1" s="13" t="s">
        <v>1045</v>
      </c>
      <c r="AA1" s="29">
        <f>8.617*10^-5</f>
        <v>8.617000000000001E-5</v>
      </c>
      <c r="AB1" s="13" t="s">
        <v>1046</v>
      </c>
    </row>
    <row r="2" spans="1:28" ht="22.5" customHeight="1" x14ac:dyDescent="0.25">
      <c r="A2" s="30" t="s">
        <v>1351</v>
      </c>
      <c r="B2" s="30" t="s">
        <v>2</v>
      </c>
      <c r="C2" s="138"/>
      <c r="D2" s="110"/>
      <c r="E2" s="138"/>
      <c r="F2" s="110"/>
      <c r="G2" s="110"/>
      <c r="H2" s="139"/>
      <c r="I2" s="110"/>
      <c r="J2" s="140"/>
      <c r="K2" s="138"/>
      <c r="L2" s="141"/>
      <c r="M2" s="138"/>
      <c r="N2" s="110"/>
      <c r="O2" s="33" t="s">
        <v>10</v>
      </c>
      <c r="P2" s="33"/>
      <c r="Q2" s="12"/>
      <c r="R2" s="12" t="s">
        <v>1051</v>
      </c>
      <c r="S2" s="30" t="s">
        <v>12</v>
      </c>
      <c r="T2" s="30"/>
      <c r="U2" s="12"/>
      <c r="V2" s="142" t="s">
        <v>1571</v>
      </c>
      <c r="W2" s="30" t="s">
        <v>1572</v>
      </c>
      <c r="X2" s="36"/>
      <c r="Y2" s="109"/>
      <c r="Z2" s="13"/>
    </row>
    <row r="3" spans="1:28" ht="22.5" hidden="1" customHeight="1" x14ac:dyDescent="0.25">
      <c r="A3" s="114" t="s">
        <v>34</v>
      </c>
      <c r="B3" s="114" t="s">
        <v>1</v>
      </c>
      <c r="C3" s="4" t="s">
        <v>0</v>
      </c>
      <c r="D3" s="133" t="s">
        <v>674</v>
      </c>
      <c r="E3" s="4"/>
      <c r="F3" s="133"/>
      <c r="G3" s="4" t="s">
        <v>7</v>
      </c>
      <c r="H3" s="112" t="s">
        <v>1554</v>
      </c>
      <c r="I3" s="4" t="s">
        <v>7</v>
      </c>
      <c r="J3" s="134" t="s">
        <v>1406</v>
      </c>
      <c r="K3" s="4" t="s">
        <v>0</v>
      </c>
      <c r="L3" s="135" t="s">
        <v>740</v>
      </c>
      <c r="M3" s="4" t="s">
        <v>0</v>
      </c>
      <c r="N3" s="117" t="s">
        <v>1053</v>
      </c>
      <c r="O3" s="113">
        <f>2.43*10^-17*Ee*2.77*EXP(-5.62/Ee)</f>
        <v>1.4661075576821745E-17</v>
      </c>
      <c r="P3" s="144">
        <v>1.4661075576821745E-17</v>
      </c>
      <c r="Q3" s="136" t="s">
        <v>1056</v>
      </c>
      <c r="R3" s="114"/>
      <c r="S3" s="114" t="s">
        <v>1049</v>
      </c>
      <c r="T3" s="114"/>
      <c r="U3" s="114"/>
      <c r="V3" s="137" t="b">
        <f t="shared" ref="V3" si="0">OR(B3=$V$1,D3=$V$1,B3="2"&amp;$V$1)</f>
        <v>0</v>
      </c>
      <c r="W3" s="114" t="b">
        <f t="shared" ref="W3" si="1">OR(J3=$W$1,L3=$W$1,N3=$W$1,J3="2"&amp;$W$1,L3="2"&amp;$W$1,N3="2"&amp;$W$1)</f>
        <v>0</v>
      </c>
      <c r="Y3" s="25" t="str">
        <f t="shared" ref="Y3:Y21" si="2">B3&amp;" + "&amp;D3&amp;IF(F3&lt;&gt;""," + "&amp;F3,"")&amp;"-&gt;"&amp;J3&amp;" + "&amp;L3&amp;IF(N3&lt;&gt;""," + "&amp;N3,"")</f>
        <v>e + N2O5-&gt;NO2+ + NO3 + 2e</v>
      </c>
      <c r="Z3" s="29">
        <f t="shared" ref="Z3:Z21" si="3">O3</f>
        <v>1.4661075576821745E-17</v>
      </c>
    </row>
    <row r="4" spans="1:28" ht="22.5" hidden="1" customHeight="1" x14ac:dyDescent="0.25">
      <c r="A4" s="1" t="s">
        <v>45</v>
      </c>
      <c r="B4" s="1" t="s">
        <v>1</v>
      </c>
      <c r="C4" s="2" t="s">
        <v>0</v>
      </c>
      <c r="D4" s="22" t="s">
        <v>1390</v>
      </c>
      <c r="E4" s="2"/>
      <c r="F4" s="3"/>
      <c r="G4" s="4" t="s">
        <v>7</v>
      </c>
      <c r="H4" s="112" t="s">
        <v>1560</v>
      </c>
      <c r="I4" s="4" t="s">
        <v>7</v>
      </c>
      <c r="J4" s="124" t="s">
        <v>1409</v>
      </c>
      <c r="K4" s="2"/>
      <c r="L4" s="22"/>
      <c r="M4" s="2"/>
      <c r="N4" s="115"/>
      <c r="O4" s="123">
        <f>1.4*10^-12*(300/Te)^0.5</f>
        <v>1.7949335224872166E-13</v>
      </c>
      <c r="P4" s="145">
        <v>1.7949335224872166E-13</v>
      </c>
      <c r="Q4" s="118" t="s">
        <v>1610</v>
      </c>
      <c r="R4" s="1"/>
      <c r="S4" s="1" t="s">
        <v>1049</v>
      </c>
      <c r="T4" s="1"/>
      <c r="U4" s="24" t="s">
        <v>691</v>
      </c>
      <c r="V4" s="116" t="b">
        <f t="shared" ref="V4:V21" si="4">OR(B4=$V$1,D4=$V$1,B4="2"&amp;$V$1)</f>
        <v>0</v>
      </c>
      <c r="W4" s="1" t="b">
        <f t="shared" ref="W4:W21" si="5">OR(J4=$W$1,L4=$W$1,N4=$W$1,J4="2"&amp;$W$1,L4="2"&amp;$W$1,N4="2"&amp;$W$1)</f>
        <v>0</v>
      </c>
      <c r="X4" s="25" t="s">
        <v>1607</v>
      </c>
      <c r="Y4" s="25" t="str">
        <f t="shared" si="2"/>
        <v xml:space="preserve">e + O4+-&gt;2O2 + </v>
      </c>
      <c r="Z4" s="29">
        <f t="shared" si="3"/>
        <v>1.7949335224872166E-13</v>
      </c>
    </row>
    <row r="5" spans="1:28" ht="22.5" hidden="1" customHeight="1" x14ac:dyDescent="0.25">
      <c r="A5" s="1" t="s">
        <v>57</v>
      </c>
      <c r="B5" s="1" t="s">
        <v>1</v>
      </c>
      <c r="C5" s="2" t="s">
        <v>0</v>
      </c>
      <c r="D5" s="3" t="s">
        <v>697</v>
      </c>
      <c r="E5" s="2"/>
      <c r="F5" s="3"/>
      <c r="G5" s="4" t="s">
        <v>7</v>
      </c>
      <c r="H5" s="112" t="s">
        <v>1560</v>
      </c>
      <c r="I5" s="4" t="s">
        <v>7</v>
      </c>
      <c r="J5" s="119" t="s">
        <v>654</v>
      </c>
      <c r="K5" s="2" t="s">
        <v>0</v>
      </c>
      <c r="L5" s="1" t="s">
        <v>1415</v>
      </c>
      <c r="M5" s="2"/>
      <c r="N5" s="115"/>
      <c r="O5" s="123">
        <f>5.46*10^-12/Te^0.5</f>
        <v>4.0415908743033632E-14</v>
      </c>
      <c r="P5" s="145">
        <v>4.0415908743033632E-14</v>
      </c>
      <c r="Q5" s="118" t="s">
        <v>1062</v>
      </c>
      <c r="R5" s="1"/>
      <c r="S5" s="1" t="s">
        <v>1049</v>
      </c>
      <c r="T5" s="1"/>
      <c r="U5" s="24" t="s">
        <v>702</v>
      </c>
      <c r="V5" s="116" t="b">
        <f t="shared" si="4"/>
        <v>0</v>
      </c>
      <c r="W5" s="1" t="b">
        <f t="shared" si="5"/>
        <v>0</v>
      </c>
      <c r="Y5" s="25" t="str">
        <f t="shared" si="2"/>
        <v>e + H3O+-&gt;OH + 2H</v>
      </c>
      <c r="Z5" s="29">
        <f t="shared" si="3"/>
        <v>4.0415908743033632E-14</v>
      </c>
    </row>
    <row r="6" spans="1:28" ht="22.5" hidden="1" customHeight="1" x14ac:dyDescent="0.25">
      <c r="A6" s="1" t="s">
        <v>37</v>
      </c>
      <c r="B6" s="1" t="s">
        <v>1</v>
      </c>
      <c r="C6" s="2" t="s">
        <v>0</v>
      </c>
      <c r="D6" s="22" t="s">
        <v>1384</v>
      </c>
      <c r="E6" s="2"/>
      <c r="F6" s="3"/>
      <c r="G6" s="4" t="s">
        <v>7</v>
      </c>
      <c r="H6" s="112" t="s">
        <v>1560</v>
      </c>
      <c r="I6" s="4" t="s">
        <v>7</v>
      </c>
      <c r="J6" s="119" t="s">
        <v>1254</v>
      </c>
      <c r="K6" s="2" t="s">
        <v>0</v>
      </c>
      <c r="L6" s="1" t="s">
        <v>636</v>
      </c>
      <c r="M6" s="2"/>
      <c r="N6" s="115"/>
      <c r="O6" s="123">
        <f>1.8*10^-13*(300/Te)^0.39</f>
        <v>3.626188404159164E-14</v>
      </c>
      <c r="P6" s="145">
        <v>1.5602523552573592E-15</v>
      </c>
      <c r="Q6" s="118" t="s">
        <v>1616</v>
      </c>
      <c r="R6" s="1"/>
      <c r="S6" s="1" t="s">
        <v>1049</v>
      </c>
      <c r="T6" s="1"/>
      <c r="U6" s="24" t="s">
        <v>691</v>
      </c>
      <c r="V6" s="116" t="b">
        <f t="shared" si="4"/>
        <v>0</v>
      </c>
      <c r="W6" s="1" t="b">
        <f t="shared" si="5"/>
        <v>0</v>
      </c>
      <c r="X6" s="25" t="s">
        <v>1607</v>
      </c>
      <c r="Y6" s="25" t="str">
        <f t="shared" si="2"/>
        <v>e + N2+-&gt;N(2D) + N</v>
      </c>
      <c r="Z6" s="29">
        <f t="shared" si="3"/>
        <v>3.626188404159164E-14</v>
      </c>
    </row>
    <row r="7" spans="1:28" ht="22.5" hidden="1" customHeight="1" x14ac:dyDescent="0.25">
      <c r="A7" s="1" t="s">
        <v>40</v>
      </c>
      <c r="B7" s="1" t="s">
        <v>1</v>
      </c>
      <c r="C7" s="2" t="s">
        <v>0</v>
      </c>
      <c r="D7" s="22" t="s">
        <v>1386</v>
      </c>
      <c r="E7" s="2"/>
      <c r="F7" s="3"/>
      <c r="G7" s="4" t="s">
        <v>7</v>
      </c>
      <c r="H7" s="112" t="s">
        <v>1560</v>
      </c>
      <c r="I7" s="4" t="s">
        <v>7</v>
      </c>
      <c r="J7" s="121" t="s">
        <v>1417</v>
      </c>
      <c r="K7" s="2"/>
      <c r="L7" s="3"/>
      <c r="M7" s="2"/>
      <c r="N7" s="115"/>
      <c r="O7" s="123">
        <f>2.3*10^-13*(300/Te)^0.53</f>
        <v>2.6068940985106045E-14</v>
      </c>
      <c r="P7" s="145">
        <v>2.6068940985106045E-14</v>
      </c>
      <c r="Q7" s="118" t="s">
        <v>1606</v>
      </c>
      <c r="R7" s="1"/>
      <c r="S7" s="1" t="s">
        <v>1049</v>
      </c>
      <c r="T7" s="1"/>
      <c r="U7" s="24" t="s">
        <v>691</v>
      </c>
      <c r="V7" s="116" t="b">
        <f t="shared" si="4"/>
        <v>0</v>
      </c>
      <c r="W7" s="1" t="b">
        <f t="shared" si="5"/>
        <v>0</v>
      </c>
      <c r="X7" s="25" t="s">
        <v>1607</v>
      </c>
      <c r="Y7" s="25" t="str">
        <f t="shared" si="2"/>
        <v xml:space="preserve">e + N4+-&gt;2N2 + </v>
      </c>
      <c r="Z7" s="29">
        <f t="shared" si="3"/>
        <v>2.6068940985106045E-14</v>
      </c>
    </row>
    <row r="8" spans="1:28" ht="22.5" hidden="1" customHeight="1" x14ac:dyDescent="0.25">
      <c r="A8" s="1" t="s">
        <v>39</v>
      </c>
      <c r="B8" s="1" t="s">
        <v>1</v>
      </c>
      <c r="C8" s="2" t="s">
        <v>0</v>
      </c>
      <c r="D8" s="22" t="s">
        <v>1385</v>
      </c>
      <c r="E8" s="2"/>
      <c r="F8" s="3"/>
      <c r="G8" s="4" t="s">
        <v>7</v>
      </c>
      <c r="H8" s="112" t="s">
        <v>1560</v>
      </c>
      <c r="I8" s="4" t="s">
        <v>7</v>
      </c>
      <c r="J8" s="121" t="s">
        <v>3</v>
      </c>
      <c r="K8" s="2" t="s">
        <v>0</v>
      </c>
      <c r="L8" s="1" t="s">
        <v>636</v>
      </c>
      <c r="M8" s="2"/>
      <c r="N8" s="115"/>
      <c r="O8" s="123">
        <f>2*10^-13*(300/Te)^0.5</f>
        <v>2.5641907464103098E-14</v>
      </c>
      <c r="P8" s="145">
        <v>2.5641907464103098E-14</v>
      </c>
      <c r="Q8" s="118" t="s">
        <v>1605</v>
      </c>
      <c r="R8" s="1"/>
      <c r="S8" s="1" t="s">
        <v>1049</v>
      </c>
      <c r="T8" s="1"/>
      <c r="U8" s="24" t="s">
        <v>691</v>
      </c>
      <c r="V8" s="116" t="b">
        <f t="shared" si="4"/>
        <v>0</v>
      </c>
      <c r="W8" s="1" t="b">
        <f t="shared" si="5"/>
        <v>0</v>
      </c>
      <c r="X8" s="25" t="s">
        <v>1607</v>
      </c>
      <c r="Y8" s="25" t="str">
        <f t="shared" si="2"/>
        <v>e + N3+-&gt;N2 + N</v>
      </c>
      <c r="Z8" s="29">
        <f t="shared" si="3"/>
        <v>2.5641907464103098E-14</v>
      </c>
    </row>
    <row r="9" spans="1:28" ht="22.5" hidden="1" customHeight="1" x14ac:dyDescent="0.25">
      <c r="A9" s="1" t="s">
        <v>46</v>
      </c>
      <c r="B9" s="1" t="s">
        <v>1</v>
      </c>
      <c r="C9" s="2" t="s">
        <v>0</v>
      </c>
      <c r="D9" s="3" t="s">
        <v>680</v>
      </c>
      <c r="E9" s="2"/>
      <c r="F9" s="3"/>
      <c r="G9" s="4" t="s">
        <v>7</v>
      </c>
      <c r="H9" s="112" t="s">
        <v>1560</v>
      </c>
      <c r="I9" s="4" t="s">
        <v>7</v>
      </c>
      <c r="J9" s="121" t="s">
        <v>3</v>
      </c>
      <c r="K9" s="2" t="s">
        <v>0</v>
      </c>
      <c r="L9" s="1" t="s">
        <v>639</v>
      </c>
      <c r="M9" s="2"/>
      <c r="N9" s="115"/>
      <c r="O9" s="123">
        <f>2*10^-13*(300/Te)^0.5</f>
        <v>2.5641907464103098E-14</v>
      </c>
      <c r="P9" s="145">
        <v>2.5641907464103098E-14</v>
      </c>
      <c r="Q9" s="118" t="s">
        <v>1605</v>
      </c>
      <c r="R9" s="1"/>
      <c r="S9" s="1" t="s">
        <v>1049</v>
      </c>
      <c r="T9" s="1"/>
      <c r="U9" s="24" t="s">
        <v>691</v>
      </c>
      <c r="V9" s="116" t="b">
        <f t="shared" si="4"/>
        <v>0</v>
      </c>
      <c r="W9" s="1" t="b">
        <f t="shared" si="5"/>
        <v>0</v>
      </c>
      <c r="X9" s="25" t="s">
        <v>1607</v>
      </c>
      <c r="Y9" s="25" t="str">
        <f t="shared" si="2"/>
        <v>e + N2O+-&gt;N2 + O</v>
      </c>
      <c r="Z9" s="29">
        <f t="shared" si="3"/>
        <v>2.5641907464103098E-14</v>
      </c>
    </row>
    <row r="10" spans="1:28" ht="22.5" hidden="1" customHeight="1" x14ac:dyDescent="0.25">
      <c r="A10" s="1" t="s">
        <v>50</v>
      </c>
      <c r="B10" s="1" t="s">
        <v>1</v>
      </c>
      <c r="C10" s="2" t="s">
        <v>0</v>
      </c>
      <c r="D10" s="22" t="s">
        <v>1387</v>
      </c>
      <c r="E10" s="2"/>
      <c r="F10" s="3"/>
      <c r="G10" s="4" t="s">
        <v>7</v>
      </c>
      <c r="H10" s="112" t="s">
        <v>1560</v>
      </c>
      <c r="I10" s="4" t="s">
        <v>7</v>
      </c>
      <c r="J10" s="119" t="s">
        <v>688</v>
      </c>
      <c r="K10" s="2" t="s">
        <v>0</v>
      </c>
      <c r="L10" s="1" t="s">
        <v>639</v>
      </c>
      <c r="M10" s="2"/>
      <c r="N10" s="115"/>
      <c r="O10" s="123">
        <f>2*10^-13*(300/Te)^0.5</f>
        <v>2.5641907464103098E-14</v>
      </c>
      <c r="P10" s="145">
        <v>2.5641907464103098E-14</v>
      </c>
      <c r="Q10" s="118" t="s">
        <v>1613</v>
      </c>
      <c r="R10" s="1"/>
      <c r="S10" s="1" t="s">
        <v>1049</v>
      </c>
      <c r="T10" s="1"/>
      <c r="U10" s="24" t="s">
        <v>691</v>
      </c>
      <c r="V10" s="116" t="b">
        <f t="shared" si="4"/>
        <v>0</v>
      </c>
      <c r="W10" s="1" t="b">
        <f t="shared" si="5"/>
        <v>0</v>
      </c>
      <c r="X10" s="25" t="s">
        <v>1607</v>
      </c>
      <c r="Y10" s="25" t="str">
        <f t="shared" si="2"/>
        <v>e + NO2+-&gt;NO + O</v>
      </c>
      <c r="Z10" s="29">
        <f t="shared" si="3"/>
        <v>2.5641907464103098E-14</v>
      </c>
    </row>
    <row r="11" spans="1:28" ht="22.5" hidden="1" customHeight="1" x14ac:dyDescent="0.25">
      <c r="A11" s="1" t="s">
        <v>54</v>
      </c>
      <c r="B11" s="1" t="s">
        <v>1</v>
      </c>
      <c r="C11" s="2" t="s">
        <v>0</v>
      </c>
      <c r="D11" s="3" t="s">
        <v>696</v>
      </c>
      <c r="E11" s="2"/>
      <c r="F11" s="3"/>
      <c r="G11" s="4" t="s">
        <v>7</v>
      </c>
      <c r="H11" s="112" t="s">
        <v>1560</v>
      </c>
      <c r="I11" s="4" t="s">
        <v>7</v>
      </c>
      <c r="J11" s="119" t="s">
        <v>654</v>
      </c>
      <c r="K11" s="2" t="s">
        <v>0</v>
      </c>
      <c r="L11" s="1" t="s">
        <v>653</v>
      </c>
      <c r="M11" s="2"/>
      <c r="N11" s="115"/>
      <c r="O11" s="123">
        <f>2.73*10^-12/Te^0.5</f>
        <v>2.0207954371516816E-14</v>
      </c>
      <c r="P11" s="145">
        <v>2.0207954371516816E-14</v>
      </c>
      <c r="Q11" s="118" t="s">
        <v>1060</v>
      </c>
      <c r="R11" s="1"/>
      <c r="S11" s="1" t="s">
        <v>1049</v>
      </c>
      <c r="T11" s="1"/>
      <c r="U11" s="24" t="s">
        <v>702</v>
      </c>
      <c r="V11" s="116" t="b">
        <f t="shared" si="4"/>
        <v>0</v>
      </c>
      <c r="W11" s="1" t="b">
        <f t="shared" si="5"/>
        <v>0</v>
      </c>
      <c r="Y11" s="25" t="str">
        <f t="shared" si="2"/>
        <v>e + H2O+-&gt;OH + H</v>
      </c>
      <c r="Z11" s="29">
        <f t="shared" si="3"/>
        <v>2.0207954371516816E-14</v>
      </c>
    </row>
    <row r="12" spans="1:28" ht="22.5" hidden="1" customHeight="1" x14ac:dyDescent="0.25">
      <c r="A12" s="1" t="s">
        <v>43</v>
      </c>
      <c r="B12" s="1" t="s">
        <v>1</v>
      </c>
      <c r="C12" s="2" t="s">
        <v>0</v>
      </c>
      <c r="D12" s="22" t="s">
        <v>1389</v>
      </c>
      <c r="E12" s="2"/>
      <c r="F12" s="3"/>
      <c r="G12" s="4" t="s">
        <v>7</v>
      </c>
      <c r="H12" s="112" t="s">
        <v>1560</v>
      </c>
      <c r="I12" s="4" t="s">
        <v>7</v>
      </c>
      <c r="J12" s="119" t="s">
        <v>639</v>
      </c>
      <c r="K12" s="2" t="s">
        <v>0</v>
      </c>
      <c r="L12" s="1" t="s">
        <v>646</v>
      </c>
      <c r="M12" s="2"/>
      <c r="N12" s="115"/>
      <c r="O12" s="123">
        <f>2.295*10^-13*(300/Te)^0.7</f>
        <v>1.2938119436626588E-14</v>
      </c>
      <c r="P12" s="145">
        <v>1.2938119436626588E-14</v>
      </c>
      <c r="Q12" s="118" t="s">
        <v>1608</v>
      </c>
      <c r="R12" s="1"/>
      <c r="S12" s="1" t="s">
        <v>1049</v>
      </c>
      <c r="T12" s="1"/>
      <c r="U12" s="24" t="s">
        <v>691</v>
      </c>
      <c r="V12" s="116" t="b">
        <f t="shared" si="4"/>
        <v>0</v>
      </c>
      <c r="W12" s="1" t="b">
        <f t="shared" si="5"/>
        <v>0</v>
      </c>
      <c r="X12" s="25" t="s">
        <v>1607</v>
      </c>
      <c r="Y12" s="25" t="str">
        <f t="shared" si="2"/>
        <v>e + O2+-&gt;O + O(1D)</v>
      </c>
      <c r="Z12" s="29">
        <f t="shared" si="3"/>
        <v>1.2938119436626588E-14</v>
      </c>
    </row>
    <row r="13" spans="1:28" ht="22.5" hidden="1" customHeight="1" x14ac:dyDescent="0.25">
      <c r="A13" s="1" t="s">
        <v>48</v>
      </c>
      <c r="B13" s="1" t="s">
        <v>1</v>
      </c>
      <c r="C13" s="2" t="s">
        <v>0</v>
      </c>
      <c r="D13" s="3" t="s">
        <v>681</v>
      </c>
      <c r="E13" s="2"/>
      <c r="F13" s="3"/>
      <c r="G13" s="4" t="s">
        <v>7</v>
      </c>
      <c r="H13" s="112" t="s">
        <v>1560</v>
      </c>
      <c r="I13" s="4" t="s">
        <v>7</v>
      </c>
      <c r="J13" s="119" t="s">
        <v>1254</v>
      </c>
      <c r="K13" s="2" t="s">
        <v>0</v>
      </c>
      <c r="L13" s="1" t="s">
        <v>639</v>
      </c>
      <c r="M13" s="2"/>
      <c r="N13" s="115"/>
      <c r="O13" s="123">
        <f>0.8*4.2*10^-13*(300/Te)^0.85</f>
        <v>1.0228309085794293E-14</v>
      </c>
      <c r="P13" s="145">
        <v>1.0228309085794293E-14</v>
      </c>
      <c r="Q13" s="118" t="s">
        <v>1612</v>
      </c>
      <c r="R13" s="1"/>
      <c r="S13" s="1" t="s">
        <v>1049</v>
      </c>
      <c r="T13" s="1"/>
      <c r="U13" s="24" t="s">
        <v>691</v>
      </c>
      <c r="V13" s="116" t="b">
        <f t="shared" si="4"/>
        <v>0</v>
      </c>
      <c r="W13" s="1" t="b">
        <f t="shared" si="5"/>
        <v>0</v>
      </c>
      <c r="X13" s="25" t="s">
        <v>1607</v>
      </c>
      <c r="Y13" s="25" t="str">
        <f t="shared" si="2"/>
        <v>e + NO+-&gt;N(2D) + O</v>
      </c>
      <c r="Z13" s="29">
        <f t="shared" si="3"/>
        <v>1.0228309085794293E-14</v>
      </c>
    </row>
    <row r="14" spans="1:28" ht="22.5" hidden="1" customHeight="1" x14ac:dyDescent="0.25">
      <c r="A14" s="1" t="s">
        <v>55</v>
      </c>
      <c r="B14" s="1" t="s">
        <v>1</v>
      </c>
      <c r="C14" s="2" t="s">
        <v>0</v>
      </c>
      <c r="D14" s="3" t="s">
        <v>696</v>
      </c>
      <c r="E14" s="2"/>
      <c r="F14" s="3"/>
      <c r="G14" s="4" t="s">
        <v>7</v>
      </c>
      <c r="H14" s="112" t="s">
        <v>1560</v>
      </c>
      <c r="I14" s="4" t="s">
        <v>7</v>
      </c>
      <c r="J14" s="119" t="s">
        <v>639</v>
      </c>
      <c r="K14" s="2" t="s">
        <v>0</v>
      </c>
      <c r="L14" s="22" t="s">
        <v>699</v>
      </c>
      <c r="M14" s="2"/>
      <c r="N14" s="115"/>
      <c r="O14" s="123">
        <f>1.37*10^-12/Te^0.5</f>
        <v>1.0140988091200748E-14</v>
      </c>
      <c r="P14" s="145">
        <v>1.0140988091200748E-14</v>
      </c>
      <c r="Q14" s="118" t="s">
        <v>1061</v>
      </c>
      <c r="R14" s="1"/>
      <c r="S14" s="1" t="s">
        <v>1049</v>
      </c>
      <c r="T14" s="1"/>
      <c r="U14" s="24" t="s">
        <v>702</v>
      </c>
      <c r="V14" s="116" t="b">
        <f t="shared" si="4"/>
        <v>0</v>
      </c>
      <c r="W14" s="1" t="b">
        <f t="shared" si="5"/>
        <v>0</v>
      </c>
      <c r="Y14" s="25" t="str">
        <f t="shared" si="2"/>
        <v>e + H2O+-&gt;O + H2</v>
      </c>
      <c r="Z14" s="29">
        <f t="shared" si="3"/>
        <v>1.0140988091200748E-14</v>
      </c>
    </row>
    <row r="15" spans="1:28" ht="22.5" hidden="1" customHeight="1" x14ac:dyDescent="0.25">
      <c r="A15" s="1" t="s">
        <v>56</v>
      </c>
      <c r="B15" s="1" t="s">
        <v>1</v>
      </c>
      <c r="C15" s="2" t="s">
        <v>0</v>
      </c>
      <c r="D15" s="3" t="s">
        <v>696</v>
      </c>
      <c r="E15" s="2"/>
      <c r="F15" s="3"/>
      <c r="G15" s="4" t="s">
        <v>7</v>
      </c>
      <c r="H15" s="112" t="s">
        <v>1560</v>
      </c>
      <c r="I15" s="4" t="s">
        <v>7</v>
      </c>
      <c r="J15" s="119" t="s">
        <v>639</v>
      </c>
      <c r="K15" s="2" t="s">
        <v>0</v>
      </c>
      <c r="L15" s="1" t="s">
        <v>1415</v>
      </c>
      <c r="M15" s="2"/>
      <c r="N15" s="115"/>
      <c r="O15" s="123">
        <f>1.37*10^-12/Te^0.5</f>
        <v>1.0140988091200748E-14</v>
      </c>
      <c r="P15" s="145">
        <v>1.0140988091200748E-14</v>
      </c>
      <c r="Q15" s="118" t="s">
        <v>1061</v>
      </c>
      <c r="R15" s="1"/>
      <c r="S15" s="1" t="s">
        <v>1049</v>
      </c>
      <c r="T15" s="1"/>
      <c r="U15" s="24" t="s">
        <v>702</v>
      </c>
      <c r="V15" s="116" t="b">
        <f t="shared" si="4"/>
        <v>0</v>
      </c>
      <c r="W15" s="1" t="b">
        <f t="shared" si="5"/>
        <v>0</v>
      </c>
      <c r="Y15" s="25" t="str">
        <f t="shared" si="2"/>
        <v>e + H2O+-&gt;O + 2H</v>
      </c>
      <c r="Z15" s="29">
        <f t="shared" si="3"/>
        <v>1.0140988091200748E-14</v>
      </c>
    </row>
    <row r="16" spans="1:28" ht="22.5" hidden="1" customHeight="1" x14ac:dyDescent="0.25">
      <c r="A16" s="1" t="s">
        <v>51</v>
      </c>
      <c r="B16" s="1" t="s">
        <v>1</v>
      </c>
      <c r="C16" s="2" t="s">
        <v>0</v>
      </c>
      <c r="D16" s="22" t="s">
        <v>1382</v>
      </c>
      <c r="E16" s="2"/>
      <c r="F16" s="3"/>
      <c r="G16" s="4" t="s">
        <v>7</v>
      </c>
      <c r="H16" s="112" t="s">
        <v>1560</v>
      </c>
      <c r="I16" s="4" t="s">
        <v>7</v>
      </c>
      <c r="J16" s="119" t="s">
        <v>1415</v>
      </c>
      <c r="K16" s="2"/>
      <c r="L16" s="1"/>
      <c r="M16" s="2"/>
      <c r="N16" s="115"/>
      <c r="O16" s="123">
        <f>1.86*10^-13/Te^0.43</f>
        <v>2.7362910566868461E-15</v>
      </c>
      <c r="P16" s="145">
        <v>2.7362910566868461E-15</v>
      </c>
      <c r="Q16" s="118" t="s">
        <v>1059</v>
      </c>
      <c r="R16" s="1"/>
      <c r="S16" s="1" t="s">
        <v>1049</v>
      </c>
      <c r="T16" s="1"/>
      <c r="U16" s="24" t="s">
        <v>702</v>
      </c>
      <c r="V16" s="116" t="b">
        <f t="shared" si="4"/>
        <v>0</v>
      </c>
      <c r="W16" s="1" t="b">
        <f t="shared" si="5"/>
        <v>0</v>
      </c>
      <c r="Y16" s="25" t="str">
        <f t="shared" si="2"/>
        <v xml:space="preserve">e + H2+-&gt;2H + </v>
      </c>
      <c r="Z16" s="29">
        <f t="shared" si="3"/>
        <v>2.7362910566868461E-15</v>
      </c>
    </row>
    <row r="17" spans="1:26" ht="22.5" hidden="1" customHeight="1" x14ac:dyDescent="0.25">
      <c r="A17" s="1" t="s">
        <v>47</v>
      </c>
      <c r="B17" s="1" t="s">
        <v>1</v>
      </c>
      <c r="C17" s="2" t="s">
        <v>0</v>
      </c>
      <c r="D17" s="3" t="s">
        <v>681</v>
      </c>
      <c r="E17" s="2"/>
      <c r="F17" s="3"/>
      <c r="G17" s="4" t="s">
        <v>7</v>
      </c>
      <c r="H17" s="112" t="s">
        <v>1560</v>
      </c>
      <c r="I17" s="4" t="s">
        <v>7</v>
      </c>
      <c r="J17" s="119" t="s">
        <v>636</v>
      </c>
      <c r="K17" s="2" t="s">
        <v>0</v>
      </c>
      <c r="L17" s="1" t="s">
        <v>639</v>
      </c>
      <c r="M17" s="2"/>
      <c r="N17" s="115"/>
      <c r="O17" s="123">
        <f>0.2*4.2*10^-13*(300/Te)^0.85</f>
        <v>2.5570772714485733E-15</v>
      </c>
      <c r="P17" s="145">
        <v>2.5570772714485733E-15</v>
      </c>
      <c r="Q17" s="118" t="s">
        <v>1611</v>
      </c>
      <c r="R17" s="1"/>
      <c r="S17" s="1" t="s">
        <v>1049</v>
      </c>
      <c r="T17" s="1"/>
      <c r="U17" s="24" t="s">
        <v>691</v>
      </c>
      <c r="V17" s="116" t="b">
        <f t="shared" si="4"/>
        <v>0</v>
      </c>
      <c r="W17" s="1" t="b">
        <f t="shared" si="5"/>
        <v>0</v>
      </c>
      <c r="X17" s="25" t="s">
        <v>1607</v>
      </c>
      <c r="Y17" s="25" t="str">
        <f t="shared" si="2"/>
        <v>e + NO+-&gt;N + O</v>
      </c>
      <c r="Z17" s="29">
        <f t="shared" si="3"/>
        <v>2.5570772714485733E-15</v>
      </c>
    </row>
    <row r="18" spans="1:26" ht="22.5" hidden="1" customHeight="1" x14ac:dyDescent="0.25">
      <c r="A18" s="1" t="s">
        <v>42</v>
      </c>
      <c r="B18" s="1" t="s">
        <v>1</v>
      </c>
      <c r="C18" s="2" t="s">
        <v>0</v>
      </c>
      <c r="D18" s="22" t="s">
        <v>1389</v>
      </c>
      <c r="E18" s="2"/>
      <c r="F18" s="3"/>
      <c r="G18" s="4" t="s">
        <v>7</v>
      </c>
      <c r="H18" s="112" t="s">
        <v>1560</v>
      </c>
      <c r="I18" s="4" t="s">
        <v>7</v>
      </c>
      <c r="J18" s="119" t="s">
        <v>1411</v>
      </c>
      <c r="K18" s="2"/>
      <c r="L18" s="1"/>
      <c r="M18" s="2"/>
      <c r="N18" s="115"/>
      <c r="O18" s="123">
        <f>0.405*10^-13*(300/Te)^0.7</f>
        <v>2.2831975476399867E-15</v>
      </c>
      <c r="P18" s="145">
        <v>2.2831975476399867E-15</v>
      </c>
      <c r="Q18" s="118" t="s">
        <v>1609</v>
      </c>
      <c r="R18" s="1"/>
      <c r="S18" s="1" t="s">
        <v>1049</v>
      </c>
      <c r="T18" s="1"/>
      <c r="U18" s="24" t="s">
        <v>691</v>
      </c>
      <c r="V18" s="116" t="b">
        <f t="shared" si="4"/>
        <v>0</v>
      </c>
      <c r="W18" s="1" t="b">
        <f t="shared" si="5"/>
        <v>0</v>
      </c>
      <c r="X18" s="25" t="s">
        <v>1607</v>
      </c>
      <c r="Y18" s="25" t="str">
        <f t="shared" si="2"/>
        <v xml:space="preserve">e + O2+-&gt;2O + </v>
      </c>
      <c r="Z18" s="29">
        <f t="shared" si="3"/>
        <v>2.2831975476399867E-15</v>
      </c>
    </row>
    <row r="19" spans="1:26" ht="22.5" hidden="1" customHeight="1" x14ac:dyDescent="0.25">
      <c r="A19" s="1" t="s">
        <v>53</v>
      </c>
      <c r="B19" s="1" t="s">
        <v>1</v>
      </c>
      <c r="C19" s="2" t="s">
        <v>0</v>
      </c>
      <c r="D19" s="22" t="s">
        <v>1383</v>
      </c>
      <c r="E19" s="2"/>
      <c r="F19" s="3"/>
      <c r="G19" s="4" t="s">
        <v>7</v>
      </c>
      <c r="H19" s="112" t="s">
        <v>1560</v>
      </c>
      <c r="I19" s="4" t="s">
        <v>7</v>
      </c>
      <c r="J19" s="119" t="s">
        <v>1412</v>
      </c>
      <c r="K19" s="2"/>
      <c r="L19" s="1"/>
      <c r="M19" s="2"/>
      <c r="N19" s="115"/>
      <c r="O19" s="123">
        <f>0.71*1.55*10^-13*(300/Te)^0.97</f>
        <v>2.0462349242814562E-15</v>
      </c>
      <c r="P19" s="145">
        <v>8.3842202807467211E-16</v>
      </c>
      <c r="Q19" s="118" t="s">
        <v>1614</v>
      </c>
      <c r="R19" s="1"/>
      <c r="S19" s="1" t="s">
        <v>1049</v>
      </c>
      <c r="T19" s="1"/>
      <c r="U19" s="24" t="s">
        <v>691</v>
      </c>
      <c r="V19" s="116" t="b">
        <f t="shared" si="4"/>
        <v>0</v>
      </c>
      <c r="W19" s="1" t="b">
        <f t="shared" si="5"/>
        <v>0</v>
      </c>
      <c r="X19" s="25" t="s">
        <v>1607</v>
      </c>
      <c r="Y19" s="25" t="str">
        <f t="shared" si="2"/>
        <v xml:space="preserve">e + H3+-&gt;3H + </v>
      </c>
      <c r="Z19" s="29">
        <f t="shared" si="3"/>
        <v>2.0462349242814562E-15</v>
      </c>
    </row>
    <row r="20" spans="1:26" ht="22.5" hidden="1" customHeight="1" x14ac:dyDescent="0.25">
      <c r="A20" s="1" t="s">
        <v>36</v>
      </c>
      <c r="B20" s="1" t="s">
        <v>1</v>
      </c>
      <c r="C20" s="2" t="s">
        <v>0</v>
      </c>
      <c r="D20" s="22" t="s">
        <v>1384</v>
      </c>
      <c r="E20" s="2"/>
      <c r="F20" s="3"/>
      <c r="G20" s="2" t="s">
        <v>7</v>
      </c>
      <c r="H20" s="112" t="s">
        <v>1560</v>
      </c>
      <c r="I20" s="2" t="s">
        <v>7</v>
      </c>
      <c r="J20" s="119" t="s">
        <v>1416</v>
      </c>
      <c r="K20" s="2"/>
      <c r="L20" s="1"/>
      <c r="M20" s="2"/>
      <c r="N20" s="115"/>
      <c r="O20" s="123">
        <f>1.66*10^-12/Te^0.7</f>
        <v>1.7266792731514772E-15</v>
      </c>
      <c r="P20" s="145">
        <v>1.7266792731514772E-15</v>
      </c>
      <c r="Q20" s="118" t="s">
        <v>1058</v>
      </c>
      <c r="R20" s="1"/>
      <c r="S20" s="1" t="s">
        <v>1049</v>
      </c>
      <c r="T20" s="1"/>
      <c r="U20" s="24" t="s">
        <v>690</v>
      </c>
      <c r="V20" s="116" t="b">
        <f t="shared" si="4"/>
        <v>0</v>
      </c>
      <c r="W20" s="1" t="b">
        <f t="shared" si="5"/>
        <v>0</v>
      </c>
      <c r="Y20" s="25" t="str">
        <f t="shared" si="2"/>
        <v xml:space="preserve">e + N2+-&gt;2N + </v>
      </c>
      <c r="Z20" s="29">
        <f t="shared" si="3"/>
        <v>1.7266792731514772E-15</v>
      </c>
    </row>
    <row r="21" spans="1:26" ht="22.5" hidden="1" customHeight="1" x14ac:dyDescent="0.25">
      <c r="A21" s="1" t="s">
        <v>52</v>
      </c>
      <c r="B21" s="1" t="s">
        <v>1</v>
      </c>
      <c r="C21" s="2" t="s">
        <v>0</v>
      </c>
      <c r="D21" s="22" t="s">
        <v>1383</v>
      </c>
      <c r="E21" s="2"/>
      <c r="F21" s="3"/>
      <c r="G21" s="114" t="s">
        <v>7</v>
      </c>
      <c r="H21" s="112" t="s">
        <v>1560</v>
      </c>
      <c r="I21" s="114" t="s">
        <v>7</v>
      </c>
      <c r="J21" s="119" t="s">
        <v>653</v>
      </c>
      <c r="K21" s="2" t="s">
        <v>0</v>
      </c>
      <c r="L21" s="22" t="s">
        <v>699</v>
      </c>
      <c r="M21" s="2"/>
      <c r="N21" s="115"/>
      <c r="O21" s="123">
        <f>0.29*1.55*10^-13*(300/Te)^0.97</f>
        <v>8.3578609583327075E-16</v>
      </c>
      <c r="P21" s="145">
        <v>3.8491341660032034E-13</v>
      </c>
      <c r="Q21" s="118" t="s">
        <v>1615</v>
      </c>
      <c r="R21" s="1"/>
      <c r="S21" s="1" t="s">
        <v>1049</v>
      </c>
      <c r="T21" s="1"/>
      <c r="U21" s="24" t="s">
        <v>691</v>
      </c>
      <c r="V21" s="116" t="b">
        <f t="shared" si="4"/>
        <v>0</v>
      </c>
      <c r="W21" s="1" t="b">
        <f t="shared" si="5"/>
        <v>0</v>
      </c>
      <c r="X21" s="25" t="s">
        <v>1607</v>
      </c>
      <c r="Y21" s="25" t="str">
        <f t="shared" si="2"/>
        <v>e + H3+-&gt;H + H2</v>
      </c>
      <c r="Z21" s="29">
        <f t="shared" si="3"/>
        <v>8.3578609583327075E-16</v>
      </c>
    </row>
    <row r="22" spans="1:26" ht="22.5" hidden="1" customHeight="1" x14ac:dyDescent="0.25">
      <c r="A22" s="1" t="s">
        <v>327</v>
      </c>
      <c r="B22" s="1" t="s">
        <v>675</v>
      </c>
      <c r="C22" s="2" t="s">
        <v>0</v>
      </c>
      <c r="D22" s="1" t="s">
        <v>1324</v>
      </c>
      <c r="E22" s="2"/>
      <c r="F22" s="22"/>
      <c r="G22" s="4" t="s">
        <v>7</v>
      </c>
      <c r="H22" s="112" t="s">
        <v>1558</v>
      </c>
      <c r="I22" s="4" t="s">
        <v>7</v>
      </c>
      <c r="J22" s="119" t="s">
        <v>1259</v>
      </c>
      <c r="K22" s="2" t="s">
        <v>0</v>
      </c>
      <c r="L22" s="22" t="s">
        <v>636</v>
      </c>
      <c r="M22" s="2"/>
      <c r="N22" s="125"/>
      <c r="O22" s="126">
        <f>2*10^-13*(300/Tg)^0.5</f>
        <v>1.9900743804199784E-13</v>
      </c>
      <c r="P22" s="146">
        <v>1.9900743804199784E-13</v>
      </c>
      <c r="Q22" s="118" t="s">
        <v>1166</v>
      </c>
      <c r="R22" s="1"/>
      <c r="S22" s="1" t="s">
        <v>1049</v>
      </c>
      <c r="T22" s="1"/>
      <c r="U22" s="24" t="s">
        <v>690</v>
      </c>
      <c r="V22" s="116" t="b">
        <f t="shared" ref="V22:V85" si="6">OR(B22=$V$1,D22=$V$1,B22="2"&amp;$V$1)</f>
        <v>0</v>
      </c>
      <c r="W22" s="1" t="b">
        <f t="shared" ref="W22:W85" si="7">OR(J22=$W$1,L22=$W$1,N22=$W$1,J22="2"&amp;$W$1,L22="2"&amp;$W$1,N22="2"&amp;$W$1)</f>
        <v>0</v>
      </c>
      <c r="Y22" s="25" t="str">
        <f t="shared" ref="Y22:Y85" si="8">B22&amp;" + "&amp;D22&amp;IF(F22&lt;&gt;""," + "&amp;F22,"")&amp;"-&gt;"&amp;J22&amp;" + "&amp;L22&amp;IF(N22&lt;&gt;""," + "&amp;N22,"")</f>
        <v>N+ + N2O--&gt;N2O + N</v>
      </c>
      <c r="Z22" s="29">
        <f t="shared" ref="Z22:Z85" si="9">O22</f>
        <v>1.9900743804199784E-13</v>
      </c>
    </row>
    <row r="23" spans="1:26" ht="22.5" hidden="1" customHeight="1" x14ac:dyDescent="0.25">
      <c r="A23" s="1" t="s">
        <v>41</v>
      </c>
      <c r="B23" s="1" t="s">
        <v>1</v>
      </c>
      <c r="C23" s="2" t="s">
        <v>0</v>
      </c>
      <c r="D23" s="3" t="s">
        <v>678</v>
      </c>
      <c r="E23" s="2" t="s">
        <v>0</v>
      </c>
      <c r="F23" s="3" t="s">
        <v>687</v>
      </c>
      <c r="G23" s="4" t="s">
        <v>7</v>
      </c>
      <c r="H23" s="112" t="s">
        <v>1628</v>
      </c>
      <c r="I23" s="4" t="s">
        <v>7</v>
      </c>
      <c r="J23" s="119" t="s">
        <v>639</v>
      </c>
      <c r="K23" s="2" t="s">
        <v>0</v>
      </c>
      <c r="L23" s="3" t="s">
        <v>687</v>
      </c>
      <c r="M23" s="2"/>
      <c r="N23" s="115"/>
      <c r="O23" s="123">
        <f>3.12*10^-35/Te^1.5*NM</f>
        <v>3.416626262549069E-16</v>
      </c>
      <c r="P23" s="145">
        <v>3.416626262549069E-16</v>
      </c>
      <c r="Q23" s="118" t="s">
        <v>1057</v>
      </c>
      <c r="R23" s="1"/>
      <c r="S23" s="1" t="s">
        <v>1049</v>
      </c>
      <c r="T23" s="1"/>
      <c r="U23" s="24" t="s">
        <v>690</v>
      </c>
      <c r="V23" s="116" t="b">
        <f t="shared" si="6"/>
        <v>0</v>
      </c>
      <c r="W23" s="1" t="b">
        <f t="shared" si="7"/>
        <v>0</v>
      </c>
      <c r="Y23" s="25" t="str">
        <f t="shared" si="8"/>
        <v>e + O+ + M-&gt;O + M</v>
      </c>
      <c r="Z23" s="29">
        <f t="shared" si="9"/>
        <v>3.416626262549069E-16</v>
      </c>
    </row>
    <row r="24" spans="1:26" ht="22.5" hidden="1" customHeight="1" x14ac:dyDescent="0.25">
      <c r="A24" s="1" t="s">
        <v>44</v>
      </c>
      <c r="B24" s="1" t="s">
        <v>1</v>
      </c>
      <c r="C24" s="2" t="s">
        <v>0</v>
      </c>
      <c r="D24" s="22" t="s">
        <v>1389</v>
      </c>
      <c r="E24" s="2" t="s">
        <v>0</v>
      </c>
      <c r="F24" s="3" t="s">
        <v>687</v>
      </c>
      <c r="G24" s="4" t="s">
        <v>7</v>
      </c>
      <c r="H24" s="112" t="s">
        <v>1628</v>
      </c>
      <c r="I24" s="4" t="s">
        <v>7</v>
      </c>
      <c r="J24" s="124" t="s">
        <v>637</v>
      </c>
      <c r="K24" s="2" t="s">
        <v>0</v>
      </c>
      <c r="L24" s="1" t="s">
        <v>687</v>
      </c>
      <c r="M24" s="2"/>
      <c r="N24" s="115"/>
      <c r="O24" s="123">
        <f>3.12*10^-35/Te^1.5*NM</f>
        <v>3.416626262549069E-16</v>
      </c>
      <c r="P24" s="145">
        <v>3.416626262549069E-16</v>
      </c>
      <c r="Q24" s="118" t="s">
        <v>1057</v>
      </c>
      <c r="R24" s="1"/>
      <c r="S24" s="1" t="s">
        <v>1049</v>
      </c>
      <c r="T24" s="1"/>
      <c r="U24" s="24" t="s">
        <v>690</v>
      </c>
      <c r="V24" s="116" t="b">
        <f t="shared" si="6"/>
        <v>0</v>
      </c>
      <c r="W24" s="1" t="b">
        <f t="shared" si="7"/>
        <v>0</v>
      </c>
      <c r="Y24" s="25" t="str">
        <f t="shared" si="8"/>
        <v>e + O2+ + M-&gt;O2 + M</v>
      </c>
      <c r="Z24" s="29">
        <f t="shared" si="9"/>
        <v>3.416626262549069E-16</v>
      </c>
    </row>
    <row r="25" spans="1:26" ht="22.5" hidden="1" customHeight="1" x14ac:dyDescent="0.25">
      <c r="A25" s="1" t="s">
        <v>49</v>
      </c>
      <c r="B25" s="1" t="s">
        <v>1</v>
      </c>
      <c r="C25" s="2" t="s">
        <v>0</v>
      </c>
      <c r="D25" s="3" t="s">
        <v>681</v>
      </c>
      <c r="E25" s="2" t="s">
        <v>0</v>
      </c>
      <c r="F25" s="3" t="s">
        <v>687</v>
      </c>
      <c r="G25" s="4" t="s">
        <v>7</v>
      </c>
      <c r="H25" s="112" t="s">
        <v>1628</v>
      </c>
      <c r="I25" s="4" t="s">
        <v>7</v>
      </c>
      <c r="J25" s="119" t="s">
        <v>688</v>
      </c>
      <c r="K25" s="2" t="s">
        <v>0</v>
      </c>
      <c r="L25" s="1" t="s">
        <v>687</v>
      </c>
      <c r="M25" s="2"/>
      <c r="N25" s="115"/>
      <c r="O25" s="123">
        <f>3.12*10^-35/Te^1.5*NM</f>
        <v>3.416626262549069E-16</v>
      </c>
      <c r="P25" s="145">
        <v>3.416626262549069E-16</v>
      </c>
      <c r="Q25" s="118" t="s">
        <v>1057</v>
      </c>
      <c r="R25" s="1"/>
      <c r="S25" s="1" t="s">
        <v>1049</v>
      </c>
      <c r="T25" s="1"/>
      <c r="U25" s="24" t="s">
        <v>690</v>
      </c>
      <c r="V25" s="116" t="b">
        <f t="shared" si="6"/>
        <v>0</v>
      </c>
      <c r="W25" s="1" t="b">
        <f t="shared" si="7"/>
        <v>0</v>
      </c>
      <c r="Y25" s="25" t="str">
        <f t="shared" si="8"/>
        <v>e + NO+ + M-&gt;NO + M</v>
      </c>
      <c r="Z25" s="29">
        <f t="shared" si="9"/>
        <v>3.416626262549069E-16</v>
      </c>
    </row>
    <row r="26" spans="1:26" ht="22.5" hidden="1" customHeight="1" x14ac:dyDescent="0.25">
      <c r="A26" s="1" t="s">
        <v>328</v>
      </c>
      <c r="B26" s="1" t="s">
        <v>675</v>
      </c>
      <c r="C26" s="2" t="s">
        <v>0</v>
      </c>
      <c r="D26" s="1" t="s">
        <v>1325</v>
      </c>
      <c r="E26" s="2"/>
      <c r="F26" s="22"/>
      <c r="G26" s="4" t="s">
        <v>7</v>
      </c>
      <c r="H26" s="112" t="s">
        <v>1558</v>
      </c>
      <c r="I26" s="4" t="s">
        <v>7</v>
      </c>
      <c r="J26" s="119" t="s">
        <v>688</v>
      </c>
      <c r="K26" s="2" t="s">
        <v>0</v>
      </c>
      <c r="L26" s="22" t="s">
        <v>636</v>
      </c>
      <c r="M26" s="2"/>
      <c r="N26" s="125"/>
      <c r="O26" s="126">
        <f>2*10^-13*(300/Tg)^0.5</f>
        <v>1.9900743804199784E-13</v>
      </c>
      <c r="P26" s="146">
        <v>1.9900743804199784E-13</v>
      </c>
      <c r="Q26" s="118" t="s">
        <v>1166</v>
      </c>
      <c r="R26" s="1"/>
      <c r="S26" s="1" t="s">
        <v>1049</v>
      </c>
      <c r="T26" s="1"/>
      <c r="U26" s="24" t="s">
        <v>690</v>
      </c>
      <c r="V26" s="116" t="b">
        <f t="shared" si="6"/>
        <v>0</v>
      </c>
      <c r="W26" s="1" t="b">
        <f t="shared" si="7"/>
        <v>0</v>
      </c>
      <c r="Y26" s="25" t="str">
        <f t="shared" si="8"/>
        <v>N+ + NO--&gt;NO + N</v>
      </c>
      <c r="Z26" s="29">
        <f t="shared" si="9"/>
        <v>1.9900743804199784E-13</v>
      </c>
    </row>
    <row r="27" spans="1:26" ht="22.5" hidden="1" customHeight="1" x14ac:dyDescent="0.25">
      <c r="A27" s="1" t="s">
        <v>59</v>
      </c>
      <c r="B27" s="1" t="s">
        <v>1053</v>
      </c>
      <c r="C27" s="2" t="s">
        <v>0</v>
      </c>
      <c r="D27" s="22" t="s">
        <v>1384</v>
      </c>
      <c r="E27" s="2"/>
      <c r="F27" s="22"/>
      <c r="G27" s="4" t="s">
        <v>7</v>
      </c>
      <c r="H27" s="112" t="s">
        <v>1560</v>
      </c>
      <c r="I27" s="4" t="s">
        <v>7</v>
      </c>
      <c r="J27" s="124" t="s">
        <v>3</v>
      </c>
      <c r="K27" s="2" t="s">
        <v>0</v>
      </c>
      <c r="L27" s="1" t="s">
        <v>1</v>
      </c>
      <c r="M27" s="2"/>
      <c r="N27" s="115"/>
      <c r="O27" s="123">
        <f t="shared" ref="O27:O34" si="10">1*10^-31*(Tg/Te)^4.5</f>
        <v>9.7887937560127973E-40</v>
      </c>
      <c r="P27" s="145">
        <v>9.7887937560127973E-40</v>
      </c>
      <c r="Q27" s="118" t="s">
        <v>1063</v>
      </c>
      <c r="R27" s="1"/>
      <c r="S27" s="1" t="s">
        <v>1049</v>
      </c>
      <c r="T27" s="1"/>
      <c r="U27" s="24" t="s">
        <v>690</v>
      </c>
      <c r="V27" s="116" t="b">
        <f t="shared" si="6"/>
        <v>0</v>
      </c>
      <c r="W27" s="1" t="b">
        <f t="shared" si="7"/>
        <v>0</v>
      </c>
      <c r="Y27" s="25" t="str">
        <f t="shared" si="8"/>
        <v>2e + N2+-&gt;N2 + e</v>
      </c>
      <c r="Z27" s="29">
        <f t="shared" si="9"/>
        <v>9.7887937560127973E-40</v>
      </c>
    </row>
    <row r="28" spans="1:26" ht="22.5" hidden="1" customHeight="1" x14ac:dyDescent="0.25">
      <c r="A28" s="1" t="s">
        <v>60</v>
      </c>
      <c r="B28" s="1" t="s">
        <v>1053</v>
      </c>
      <c r="C28" s="2" t="s">
        <v>0</v>
      </c>
      <c r="D28" s="22" t="s">
        <v>678</v>
      </c>
      <c r="E28" s="2"/>
      <c r="F28" s="22"/>
      <c r="G28" s="4" t="s">
        <v>7</v>
      </c>
      <c r="H28" s="112" t="s">
        <v>1560</v>
      </c>
      <c r="I28" s="4" t="s">
        <v>7</v>
      </c>
      <c r="J28" s="119" t="s">
        <v>639</v>
      </c>
      <c r="K28" s="2" t="s">
        <v>0</v>
      </c>
      <c r="L28" s="1" t="s">
        <v>1</v>
      </c>
      <c r="M28" s="2"/>
      <c r="N28" s="115"/>
      <c r="O28" s="123">
        <f t="shared" si="10"/>
        <v>9.7887937560127973E-40</v>
      </c>
      <c r="P28" s="145">
        <v>9.7887937560127973E-40</v>
      </c>
      <c r="Q28" s="118" t="s">
        <v>1063</v>
      </c>
      <c r="R28" s="1"/>
      <c r="S28" s="1" t="s">
        <v>1049</v>
      </c>
      <c r="T28" s="1"/>
      <c r="U28" s="24" t="s">
        <v>690</v>
      </c>
      <c r="V28" s="116" t="b">
        <f t="shared" si="6"/>
        <v>0</v>
      </c>
      <c r="W28" s="1" t="b">
        <f t="shared" si="7"/>
        <v>0</v>
      </c>
      <c r="Y28" s="25" t="str">
        <f t="shared" si="8"/>
        <v>2e + O+-&gt;O + e</v>
      </c>
      <c r="Z28" s="29">
        <f t="shared" si="9"/>
        <v>9.7887937560127973E-40</v>
      </c>
    </row>
    <row r="29" spans="1:26" ht="22.5" hidden="1" customHeight="1" x14ac:dyDescent="0.25">
      <c r="A29" s="1" t="s">
        <v>61</v>
      </c>
      <c r="B29" s="1" t="s">
        <v>1053</v>
      </c>
      <c r="C29" s="2" t="s">
        <v>0</v>
      </c>
      <c r="D29" s="22" t="s">
        <v>1389</v>
      </c>
      <c r="E29" s="2"/>
      <c r="F29" s="22"/>
      <c r="G29" s="4" t="s">
        <v>7</v>
      </c>
      <c r="H29" s="112" t="s">
        <v>1560</v>
      </c>
      <c r="I29" s="4" t="s">
        <v>7</v>
      </c>
      <c r="J29" s="124" t="s">
        <v>637</v>
      </c>
      <c r="K29" s="2" t="s">
        <v>0</v>
      </c>
      <c r="L29" s="1" t="s">
        <v>1</v>
      </c>
      <c r="M29" s="2"/>
      <c r="N29" s="115"/>
      <c r="O29" s="123">
        <f t="shared" si="10"/>
        <v>9.7887937560127973E-40</v>
      </c>
      <c r="P29" s="145">
        <v>9.7887937560127973E-40</v>
      </c>
      <c r="Q29" s="118" t="s">
        <v>1063</v>
      </c>
      <c r="R29" s="1"/>
      <c r="S29" s="1" t="s">
        <v>1049</v>
      </c>
      <c r="T29" s="1"/>
      <c r="U29" s="24" t="s">
        <v>690</v>
      </c>
      <c r="V29" s="116" t="b">
        <f t="shared" si="6"/>
        <v>0</v>
      </c>
      <c r="W29" s="1" t="b">
        <f t="shared" si="7"/>
        <v>0</v>
      </c>
      <c r="Y29" s="25" t="str">
        <f t="shared" si="8"/>
        <v>2e + O2+-&gt;O2 + e</v>
      </c>
      <c r="Z29" s="29">
        <f t="shared" si="9"/>
        <v>9.7887937560127973E-40</v>
      </c>
    </row>
    <row r="30" spans="1:26" ht="22.5" hidden="1" customHeight="1" x14ac:dyDescent="0.25">
      <c r="A30" s="1" t="s">
        <v>62</v>
      </c>
      <c r="B30" s="1" t="s">
        <v>1053</v>
      </c>
      <c r="C30" s="2" t="s">
        <v>0</v>
      </c>
      <c r="D30" s="22" t="s">
        <v>698</v>
      </c>
      <c r="E30" s="2"/>
      <c r="F30" s="22"/>
      <c r="G30" s="4" t="s">
        <v>7</v>
      </c>
      <c r="H30" s="112" t="s">
        <v>1560</v>
      </c>
      <c r="I30" s="4" t="s">
        <v>7</v>
      </c>
      <c r="J30" s="124" t="s">
        <v>688</v>
      </c>
      <c r="K30" s="2" t="s">
        <v>0</v>
      </c>
      <c r="L30" s="1" t="s">
        <v>1</v>
      </c>
      <c r="M30" s="2"/>
      <c r="N30" s="115"/>
      <c r="O30" s="123">
        <f t="shared" si="10"/>
        <v>9.7887937560127973E-40</v>
      </c>
      <c r="P30" s="145">
        <v>9.7887937560127973E-40</v>
      </c>
      <c r="Q30" s="118" t="s">
        <v>1063</v>
      </c>
      <c r="R30" s="1"/>
      <c r="S30" s="1" t="s">
        <v>1049</v>
      </c>
      <c r="T30" s="1"/>
      <c r="U30" s="24" t="s">
        <v>690</v>
      </c>
      <c r="V30" s="116" t="b">
        <f t="shared" si="6"/>
        <v>0</v>
      </c>
      <c r="W30" s="1" t="b">
        <f t="shared" si="7"/>
        <v>0</v>
      </c>
      <c r="Y30" s="25" t="str">
        <f t="shared" si="8"/>
        <v>2e + NO+-&gt;NO + e</v>
      </c>
      <c r="Z30" s="29">
        <f t="shared" si="9"/>
        <v>9.7887937560127973E-40</v>
      </c>
    </row>
    <row r="31" spans="1:26" ht="22.5" hidden="1" customHeight="1" x14ac:dyDescent="0.25">
      <c r="A31" s="1" t="s">
        <v>63</v>
      </c>
      <c r="B31" s="1" t="s">
        <v>1053</v>
      </c>
      <c r="C31" s="2" t="s">
        <v>0</v>
      </c>
      <c r="D31" s="22" t="s">
        <v>685</v>
      </c>
      <c r="E31" s="2"/>
      <c r="F31" s="22"/>
      <c r="G31" s="4" t="s">
        <v>7</v>
      </c>
      <c r="H31" s="112" t="s">
        <v>1560</v>
      </c>
      <c r="I31" s="4" t="s">
        <v>7</v>
      </c>
      <c r="J31" s="124" t="s">
        <v>653</v>
      </c>
      <c r="K31" s="2" t="s">
        <v>0</v>
      </c>
      <c r="L31" s="1" t="s">
        <v>1</v>
      </c>
      <c r="M31" s="2"/>
      <c r="N31" s="115"/>
      <c r="O31" s="123">
        <f t="shared" si="10"/>
        <v>9.7887937560127973E-40</v>
      </c>
      <c r="P31" s="145">
        <v>9.7887937560127973E-40</v>
      </c>
      <c r="Q31" s="118" t="s">
        <v>1063</v>
      </c>
      <c r="R31" s="1"/>
      <c r="S31" s="1" t="s">
        <v>1049</v>
      </c>
      <c r="T31" s="1"/>
      <c r="U31" s="24" t="s">
        <v>703</v>
      </c>
      <c r="V31" s="116" t="b">
        <f t="shared" si="6"/>
        <v>0</v>
      </c>
      <c r="W31" s="1" t="b">
        <f t="shared" si="7"/>
        <v>0</v>
      </c>
      <c r="Y31" s="25" t="str">
        <f t="shared" si="8"/>
        <v>2e + H+-&gt;H + e</v>
      </c>
      <c r="Z31" s="29">
        <f t="shared" si="9"/>
        <v>9.7887937560127973E-40</v>
      </c>
    </row>
    <row r="32" spans="1:26" ht="22.5" hidden="1" customHeight="1" x14ac:dyDescent="0.25">
      <c r="A32" s="1" t="s">
        <v>64</v>
      </c>
      <c r="B32" s="1" t="s">
        <v>1053</v>
      </c>
      <c r="C32" s="2" t="s">
        <v>0</v>
      </c>
      <c r="D32" s="22" t="s">
        <v>1382</v>
      </c>
      <c r="E32" s="2"/>
      <c r="F32" s="22"/>
      <c r="G32" s="4" t="s">
        <v>7</v>
      </c>
      <c r="H32" s="112" t="s">
        <v>1560</v>
      </c>
      <c r="I32" s="4" t="s">
        <v>7</v>
      </c>
      <c r="J32" s="124" t="s">
        <v>640</v>
      </c>
      <c r="K32" s="2" t="s">
        <v>0</v>
      </c>
      <c r="L32" s="1" t="s">
        <v>1</v>
      </c>
      <c r="M32" s="2"/>
      <c r="N32" s="115"/>
      <c r="O32" s="123">
        <f t="shared" si="10"/>
        <v>9.7887937560127973E-40</v>
      </c>
      <c r="P32" s="145">
        <v>9.7887937560127973E-40</v>
      </c>
      <c r="Q32" s="118" t="s">
        <v>1063</v>
      </c>
      <c r="R32" s="1"/>
      <c r="S32" s="1" t="s">
        <v>1049</v>
      </c>
      <c r="T32" s="1"/>
      <c r="U32" s="24" t="s">
        <v>703</v>
      </c>
      <c r="V32" s="116" t="b">
        <f t="shared" si="6"/>
        <v>0</v>
      </c>
      <c r="W32" s="1" t="b">
        <f t="shared" si="7"/>
        <v>0</v>
      </c>
      <c r="Y32" s="25" t="str">
        <f t="shared" si="8"/>
        <v>2e + H2+-&gt;H2 + e</v>
      </c>
      <c r="Z32" s="29">
        <f t="shared" si="9"/>
        <v>9.7887937560127973E-40</v>
      </c>
    </row>
    <row r="33" spans="1:26" ht="22.5" hidden="1" customHeight="1" x14ac:dyDescent="0.25">
      <c r="A33" s="1" t="s">
        <v>65</v>
      </c>
      <c r="B33" s="1" t="s">
        <v>1053</v>
      </c>
      <c r="C33" s="2" t="s">
        <v>0</v>
      </c>
      <c r="D33" s="22" t="s">
        <v>652</v>
      </c>
      <c r="E33" s="2"/>
      <c r="F33" s="22"/>
      <c r="G33" s="4" t="s">
        <v>7</v>
      </c>
      <c r="H33" s="112" t="s">
        <v>1560</v>
      </c>
      <c r="I33" s="4" t="s">
        <v>7</v>
      </c>
      <c r="J33" s="124" t="s">
        <v>654</v>
      </c>
      <c r="K33" s="2" t="s">
        <v>0</v>
      </c>
      <c r="L33" s="1" t="s">
        <v>1</v>
      </c>
      <c r="M33" s="2"/>
      <c r="N33" s="115"/>
      <c r="O33" s="123">
        <f t="shared" si="10"/>
        <v>9.7887937560127973E-40</v>
      </c>
      <c r="P33" s="145">
        <v>9.7887937560127973E-40</v>
      </c>
      <c r="Q33" s="118" t="s">
        <v>1063</v>
      </c>
      <c r="R33" s="1"/>
      <c r="S33" s="1" t="s">
        <v>1049</v>
      </c>
      <c r="T33" s="1"/>
      <c r="U33" s="24" t="s">
        <v>703</v>
      </c>
      <c r="V33" s="116" t="b">
        <f t="shared" si="6"/>
        <v>0</v>
      </c>
      <c r="W33" s="1" t="b">
        <f t="shared" si="7"/>
        <v>0</v>
      </c>
      <c r="Y33" s="25" t="str">
        <f t="shared" si="8"/>
        <v>2e + OH+-&gt;OH + e</v>
      </c>
      <c r="Z33" s="29">
        <f t="shared" si="9"/>
        <v>9.7887937560127973E-40</v>
      </c>
    </row>
    <row r="34" spans="1:26" ht="22.5" hidden="1" customHeight="1" x14ac:dyDescent="0.25">
      <c r="A34" s="1" t="s">
        <v>66</v>
      </c>
      <c r="B34" s="1" t="s">
        <v>1053</v>
      </c>
      <c r="C34" s="2" t="s">
        <v>0</v>
      </c>
      <c r="D34" s="3" t="s">
        <v>696</v>
      </c>
      <c r="E34" s="2"/>
      <c r="F34" s="3"/>
      <c r="G34" s="4" t="s">
        <v>7</v>
      </c>
      <c r="H34" s="112" t="s">
        <v>1560</v>
      </c>
      <c r="I34" s="4" t="s">
        <v>7</v>
      </c>
      <c r="J34" s="121" t="s">
        <v>1260</v>
      </c>
      <c r="K34" s="2" t="s">
        <v>0</v>
      </c>
      <c r="L34" s="1" t="s">
        <v>1</v>
      </c>
      <c r="M34" s="2"/>
      <c r="N34" s="115"/>
      <c r="O34" s="123">
        <f t="shared" si="10"/>
        <v>9.7887937560127973E-40</v>
      </c>
      <c r="P34" s="145">
        <v>9.7887937560127973E-40</v>
      </c>
      <c r="Q34" s="118" t="s">
        <v>1063</v>
      </c>
      <c r="R34" s="1"/>
      <c r="S34" s="1" t="s">
        <v>1049</v>
      </c>
      <c r="T34" s="1"/>
      <c r="U34" s="24" t="s">
        <v>703</v>
      </c>
      <c r="V34" s="116" t="b">
        <f t="shared" si="6"/>
        <v>0</v>
      </c>
      <c r="W34" s="1" t="b">
        <f t="shared" si="7"/>
        <v>0</v>
      </c>
      <c r="Y34" s="25" t="str">
        <f t="shared" si="8"/>
        <v>2e + H2O+-&gt;H2O + e</v>
      </c>
      <c r="Z34" s="29">
        <f t="shared" si="9"/>
        <v>9.7887937560127973E-40</v>
      </c>
    </row>
    <row r="35" spans="1:26" ht="22.5" hidden="1" customHeight="1" x14ac:dyDescent="0.25">
      <c r="A35" s="1"/>
      <c r="B35" s="1" t="s">
        <v>1</v>
      </c>
      <c r="C35" s="2" t="s">
        <v>0</v>
      </c>
      <c r="D35" s="22" t="s">
        <v>638</v>
      </c>
      <c r="E35" s="2"/>
      <c r="F35" s="3"/>
      <c r="G35" s="4" t="s">
        <v>7</v>
      </c>
      <c r="H35" s="112" t="s">
        <v>1555</v>
      </c>
      <c r="I35" s="4" t="s">
        <v>7</v>
      </c>
      <c r="J35" s="150" t="s">
        <v>1329</v>
      </c>
      <c r="K35" s="2" t="s">
        <v>0</v>
      </c>
      <c r="L35" s="1" t="s">
        <v>639</v>
      </c>
      <c r="M35" s="2"/>
      <c r="N35" s="115"/>
      <c r="O35" s="123">
        <f>1*10^-(9+6)</f>
        <v>1.0000000000000001E-15</v>
      </c>
      <c r="P35" s="145"/>
      <c r="Q35" s="118" t="s">
        <v>1618</v>
      </c>
      <c r="R35" s="1"/>
      <c r="S35" s="1"/>
      <c r="T35" s="1"/>
      <c r="U35" s="24" t="s">
        <v>691</v>
      </c>
      <c r="V35" s="116" t="b">
        <f t="shared" si="6"/>
        <v>0</v>
      </c>
      <c r="W35" s="1" t="b">
        <f t="shared" si="7"/>
        <v>0</v>
      </c>
      <c r="X35" s="25" t="s">
        <v>1607</v>
      </c>
      <c r="Y35" s="25" t="str">
        <f t="shared" si="8"/>
        <v>e + O3-&gt;O2- + O</v>
      </c>
      <c r="Z35" s="29">
        <f t="shared" si="9"/>
        <v>1.0000000000000001E-15</v>
      </c>
    </row>
    <row r="36" spans="1:26" ht="22.5" hidden="1" customHeight="1" x14ac:dyDescent="0.25">
      <c r="A36" s="1"/>
      <c r="B36" s="1" t="s">
        <v>1</v>
      </c>
      <c r="C36" s="2" t="s">
        <v>0</v>
      </c>
      <c r="D36" s="22" t="s">
        <v>638</v>
      </c>
      <c r="E36" s="2"/>
      <c r="F36" s="3"/>
      <c r="G36" s="4" t="s">
        <v>7</v>
      </c>
      <c r="H36" s="112" t="s">
        <v>1555</v>
      </c>
      <c r="I36" s="4" t="s">
        <v>7</v>
      </c>
      <c r="J36" s="150" t="s">
        <v>637</v>
      </c>
      <c r="K36" s="2" t="s">
        <v>0</v>
      </c>
      <c r="L36" s="1" t="s">
        <v>1568</v>
      </c>
      <c r="M36" s="2"/>
      <c r="N36" s="115"/>
      <c r="O36" s="123">
        <f>1*10^-(11+6)</f>
        <v>1.0000000000000001E-17</v>
      </c>
      <c r="P36" s="145"/>
      <c r="Q36" s="118" t="s">
        <v>1619</v>
      </c>
      <c r="R36" s="1"/>
      <c r="S36" s="1"/>
      <c r="T36" s="1"/>
      <c r="U36" s="24" t="s">
        <v>691</v>
      </c>
      <c r="V36" s="116" t="b">
        <f t="shared" si="6"/>
        <v>0</v>
      </c>
      <c r="W36" s="1" t="b">
        <f t="shared" si="7"/>
        <v>0</v>
      </c>
      <c r="X36" s="25" t="s">
        <v>1607</v>
      </c>
      <c r="Y36" s="25" t="str">
        <f t="shared" si="8"/>
        <v>e + O3-&gt;O2 + O-</v>
      </c>
      <c r="Z36" s="29">
        <f t="shared" si="9"/>
        <v>1.0000000000000001E-17</v>
      </c>
    </row>
    <row r="37" spans="1:26" ht="22.5" hidden="1" customHeight="1" x14ac:dyDescent="0.25">
      <c r="A37" s="1"/>
      <c r="B37" s="1" t="s">
        <v>1</v>
      </c>
      <c r="C37" s="2" t="s">
        <v>0</v>
      </c>
      <c r="D37" s="22" t="s">
        <v>637</v>
      </c>
      <c r="E37" s="2" t="s">
        <v>0</v>
      </c>
      <c r="F37" s="22" t="s">
        <v>1620</v>
      </c>
      <c r="G37" s="4" t="s">
        <v>7</v>
      </c>
      <c r="H37" s="112" t="s">
        <v>1617</v>
      </c>
      <c r="I37" s="4" t="s">
        <v>7</v>
      </c>
      <c r="J37" s="150" t="s">
        <v>1329</v>
      </c>
      <c r="K37" s="2" t="s">
        <v>0</v>
      </c>
      <c r="L37" s="22" t="s">
        <v>1620</v>
      </c>
      <c r="M37" s="2"/>
      <c r="N37" s="115"/>
      <c r="O37" s="123">
        <f>1.4*10^(-29-12)*NM</f>
        <v>3.7800000000000003E-16</v>
      </c>
      <c r="P37" s="145"/>
      <c r="Q37" s="118" t="s">
        <v>1621</v>
      </c>
      <c r="R37" s="1"/>
      <c r="S37" s="1"/>
      <c r="T37" s="1"/>
      <c r="U37" s="24" t="s">
        <v>691</v>
      </c>
      <c r="V37" s="116" t="b">
        <f t="shared" si="6"/>
        <v>0</v>
      </c>
      <c r="W37" s="1" t="b">
        <f t="shared" si="7"/>
        <v>0</v>
      </c>
      <c r="X37" s="25" t="s">
        <v>1607</v>
      </c>
      <c r="Y37" s="25" t="str">
        <f t="shared" si="8"/>
        <v>e + O2 + H2O-&gt;O2- + H2O</v>
      </c>
      <c r="Z37" s="29">
        <f t="shared" si="9"/>
        <v>3.7800000000000003E-16</v>
      </c>
    </row>
    <row r="38" spans="1:26" ht="22.5" hidden="1" customHeight="1" x14ac:dyDescent="0.25">
      <c r="A38" s="1" t="s">
        <v>75</v>
      </c>
      <c r="B38" s="1" t="s">
        <v>1</v>
      </c>
      <c r="C38" s="2" t="s">
        <v>0</v>
      </c>
      <c r="D38" s="22" t="s">
        <v>723</v>
      </c>
      <c r="E38" s="2" t="s">
        <v>0</v>
      </c>
      <c r="F38" s="22" t="s">
        <v>637</v>
      </c>
      <c r="G38" s="4" t="s">
        <v>7</v>
      </c>
      <c r="H38" s="112" t="s">
        <v>1617</v>
      </c>
      <c r="I38" s="4" t="s">
        <v>7</v>
      </c>
      <c r="J38" s="124" t="s">
        <v>1394</v>
      </c>
      <c r="K38" s="2" t="s">
        <v>0</v>
      </c>
      <c r="L38" s="150" t="s">
        <v>637</v>
      </c>
      <c r="M38" s="22"/>
      <c r="N38" s="125"/>
      <c r="O38" s="126">
        <f>1*10^-43*NM</f>
        <v>2.7000000000000007E-18</v>
      </c>
      <c r="P38" s="146">
        <v>2.7000000000000007E-18</v>
      </c>
      <c r="Q38" s="118" t="s">
        <v>1064</v>
      </c>
      <c r="R38" s="1"/>
      <c r="S38" s="1" t="s">
        <v>1049</v>
      </c>
      <c r="T38" s="1"/>
      <c r="U38" s="24" t="s">
        <v>691</v>
      </c>
      <c r="V38" s="116" t="b">
        <f t="shared" si="6"/>
        <v>0</v>
      </c>
      <c r="W38" s="1" t="b">
        <f t="shared" si="7"/>
        <v>0</v>
      </c>
      <c r="X38" s="25" t="s">
        <v>1607</v>
      </c>
      <c r="Y38" s="25" t="str">
        <f t="shared" si="8"/>
        <v>e + O3 + O2-&gt;O3- + O2</v>
      </c>
      <c r="Z38" s="29">
        <f t="shared" si="9"/>
        <v>2.7000000000000007E-18</v>
      </c>
    </row>
    <row r="39" spans="1:26" ht="22.5" hidden="1" customHeight="1" x14ac:dyDescent="0.25">
      <c r="A39" s="1" t="s">
        <v>76</v>
      </c>
      <c r="B39" s="1" t="s">
        <v>1</v>
      </c>
      <c r="C39" s="2" t="s">
        <v>0</v>
      </c>
      <c r="D39" s="22" t="s">
        <v>738</v>
      </c>
      <c r="E39" s="2"/>
      <c r="F39" s="3"/>
      <c r="G39" s="4" t="s">
        <v>7</v>
      </c>
      <c r="H39" s="112" t="s">
        <v>1555</v>
      </c>
      <c r="I39" s="4" t="s">
        <v>7</v>
      </c>
      <c r="J39" s="124" t="s">
        <v>1333</v>
      </c>
      <c r="K39" s="2" t="s">
        <v>0</v>
      </c>
      <c r="L39" s="22" t="s">
        <v>689</v>
      </c>
      <c r="M39" s="22"/>
      <c r="N39" s="125"/>
      <c r="O39" s="126">
        <f>2*10^-16</f>
        <v>2E-16</v>
      </c>
      <c r="P39" s="146">
        <v>2E-16</v>
      </c>
      <c r="Q39" s="118" t="s">
        <v>1067</v>
      </c>
      <c r="R39" s="1"/>
      <c r="S39" s="1" t="s">
        <v>1049</v>
      </c>
      <c r="T39" s="1"/>
      <c r="U39" s="24" t="s">
        <v>755</v>
      </c>
      <c r="V39" s="116" t="b">
        <f t="shared" si="6"/>
        <v>0</v>
      </c>
      <c r="W39" s="1" t="b">
        <f t="shared" si="7"/>
        <v>0</v>
      </c>
      <c r="Y39" s="25" t="str">
        <f t="shared" si="8"/>
        <v>e + N2O-&gt;O- + N2</v>
      </c>
      <c r="Z39" s="29">
        <f t="shared" si="9"/>
        <v>2E-16</v>
      </c>
    </row>
    <row r="40" spans="1:26" ht="22.5" hidden="1" customHeight="1" x14ac:dyDescent="0.25">
      <c r="A40" s="1" t="s">
        <v>77</v>
      </c>
      <c r="B40" s="1" t="s">
        <v>1</v>
      </c>
      <c r="C40" s="2" t="s">
        <v>0</v>
      </c>
      <c r="D40" s="22" t="s">
        <v>688</v>
      </c>
      <c r="E40" s="2" t="s">
        <v>0</v>
      </c>
      <c r="F40" s="1" t="s">
        <v>688</v>
      </c>
      <c r="G40" s="2" t="s">
        <v>7</v>
      </c>
      <c r="H40" s="112" t="s">
        <v>1617</v>
      </c>
      <c r="I40" s="2" t="s">
        <v>7</v>
      </c>
      <c r="J40" s="124" t="s">
        <v>1325</v>
      </c>
      <c r="K40" s="22" t="s">
        <v>0</v>
      </c>
      <c r="L40" s="22" t="s">
        <v>688</v>
      </c>
      <c r="N40" s="127"/>
      <c r="O40" s="29">
        <f>8*10^-43*NM</f>
        <v>2.1600000000000005E-17</v>
      </c>
      <c r="P40" s="147">
        <v>2.1600000000000005E-17</v>
      </c>
      <c r="Q40" s="118" t="s">
        <v>1068</v>
      </c>
      <c r="R40" s="1"/>
      <c r="S40" s="1" t="s">
        <v>1049</v>
      </c>
      <c r="T40" s="1"/>
      <c r="U40" s="24" t="s">
        <v>691</v>
      </c>
      <c r="V40" s="116" t="b">
        <f t="shared" si="6"/>
        <v>0</v>
      </c>
      <c r="W40" s="1" t="b">
        <f t="shared" si="7"/>
        <v>0</v>
      </c>
      <c r="X40" s="25" t="s">
        <v>1607</v>
      </c>
      <c r="Y40" s="25" t="str">
        <f t="shared" si="8"/>
        <v>e + NO + NO-&gt;NO- + NO</v>
      </c>
      <c r="Z40" s="29">
        <f t="shared" si="9"/>
        <v>2.1600000000000005E-17</v>
      </c>
    </row>
    <row r="41" spans="1:26" ht="22.5" hidden="1" customHeight="1" x14ac:dyDescent="0.25">
      <c r="A41" s="1" t="s">
        <v>78</v>
      </c>
      <c r="B41" s="1" t="s">
        <v>1</v>
      </c>
      <c r="C41" s="2" t="s">
        <v>0</v>
      </c>
      <c r="D41" s="22" t="s">
        <v>739</v>
      </c>
      <c r="E41" s="2"/>
      <c r="F41" s="3"/>
      <c r="G41" s="4" t="s">
        <v>7</v>
      </c>
      <c r="H41" s="112" t="s">
        <v>1555</v>
      </c>
      <c r="I41" s="4" t="s">
        <v>7</v>
      </c>
      <c r="J41" s="124" t="s">
        <v>1333</v>
      </c>
      <c r="K41" s="2" t="s">
        <v>0</v>
      </c>
      <c r="L41" s="22" t="s">
        <v>688</v>
      </c>
      <c r="M41" s="22"/>
      <c r="N41" s="125"/>
      <c r="O41" s="126">
        <f>1*10^-17</f>
        <v>1.0000000000000001E-17</v>
      </c>
      <c r="P41" s="146">
        <v>1.0000000000000001E-17</v>
      </c>
      <c r="Q41" s="118" t="s">
        <v>1065</v>
      </c>
      <c r="R41" s="1"/>
      <c r="S41" s="1" t="s">
        <v>1049</v>
      </c>
      <c r="T41" s="1"/>
      <c r="U41" s="24" t="s">
        <v>691</v>
      </c>
      <c r="V41" s="116" t="b">
        <f t="shared" si="6"/>
        <v>0</v>
      </c>
      <c r="W41" s="1" t="b">
        <f t="shared" si="7"/>
        <v>0</v>
      </c>
      <c r="X41" s="25" t="s">
        <v>1607</v>
      </c>
      <c r="Y41" s="25" t="str">
        <f t="shared" si="8"/>
        <v>e + NO2-&gt;O- + NO</v>
      </c>
      <c r="Z41" s="29">
        <f t="shared" si="9"/>
        <v>1.0000000000000001E-17</v>
      </c>
    </row>
    <row r="42" spans="1:26" ht="22.5" hidden="1" customHeight="1" x14ac:dyDescent="0.25">
      <c r="A42" s="1" t="s">
        <v>79</v>
      </c>
      <c r="B42" s="1" t="s">
        <v>1</v>
      </c>
      <c r="C42" s="2" t="s">
        <v>0</v>
      </c>
      <c r="D42" s="22" t="s">
        <v>739</v>
      </c>
      <c r="E42" s="2" t="s">
        <v>0</v>
      </c>
      <c r="F42" s="1" t="s">
        <v>687</v>
      </c>
      <c r="G42" s="2" t="s">
        <v>7</v>
      </c>
      <c r="H42" s="112" t="s">
        <v>1617</v>
      </c>
      <c r="I42" s="2" t="s">
        <v>7</v>
      </c>
      <c r="J42" s="124" t="s">
        <v>1392</v>
      </c>
      <c r="K42" s="22" t="s">
        <v>0</v>
      </c>
      <c r="L42" s="22" t="s">
        <v>687</v>
      </c>
      <c r="M42" s="22"/>
      <c r="N42" s="125"/>
      <c r="O42" s="126">
        <f>1.5*10^-42*NM</f>
        <v>4.0499999999999999E-17</v>
      </c>
      <c r="P42" s="146">
        <v>4.0499999999999999E-17</v>
      </c>
      <c r="Q42" s="118" t="s">
        <v>1335</v>
      </c>
      <c r="R42" s="1"/>
      <c r="S42" s="1" t="s">
        <v>1049</v>
      </c>
      <c r="T42" s="1"/>
      <c r="U42" s="24" t="s">
        <v>756</v>
      </c>
      <c r="V42" s="116" t="b">
        <f t="shared" si="6"/>
        <v>0</v>
      </c>
      <c r="W42" s="1" t="b">
        <f t="shared" si="7"/>
        <v>0</v>
      </c>
      <c r="X42" s="25" t="s">
        <v>1607</v>
      </c>
      <c r="Y42" s="25" t="str">
        <f t="shared" si="8"/>
        <v>e + NO2 + M-&gt;NO2- + M</v>
      </c>
      <c r="Z42" s="29">
        <f t="shared" si="9"/>
        <v>4.0499999999999999E-17</v>
      </c>
    </row>
    <row r="43" spans="1:26" ht="22.5" hidden="1" customHeight="1" x14ac:dyDescent="0.25">
      <c r="A43" s="1" t="s">
        <v>80</v>
      </c>
      <c r="B43" s="1" t="s">
        <v>1</v>
      </c>
      <c r="C43" s="2" t="s">
        <v>0</v>
      </c>
      <c r="D43" s="22" t="s">
        <v>740</v>
      </c>
      <c r="E43" s="2" t="s">
        <v>0</v>
      </c>
      <c r="F43" s="1" t="s">
        <v>687</v>
      </c>
      <c r="G43" s="2" t="s">
        <v>7</v>
      </c>
      <c r="H43" s="112" t="s">
        <v>1617</v>
      </c>
      <c r="I43" s="2" t="s">
        <v>7</v>
      </c>
      <c r="J43" s="124" t="s">
        <v>1391</v>
      </c>
      <c r="K43" s="22" t="s">
        <v>0</v>
      </c>
      <c r="L43" s="22" t="s">
        <v>687</v>
      </c>
      <c r="M43" s="22"/>
      <c r="N43" s="125"/>
      <c r="O43" s="126">
        <f>1*10^-42*NM</f>
        <v>2.7000000000000001E-17</v>
      </c>
      <c r="P43" s="146">
        <v>2.7000000000000001E-17</v>
      </c>
      <c r="Q43" s="118" t="s">
        <v>1069</v>
      </c>
      <c r="R43" s="1"/>
      <c r="S43" s="1" t="s">
        <v>1049</v>
      </c>
      <c r="T43" s="1"/>
      <c r="U43" s="24" t="s">
        <v>756</v>
      </c>
      <c r="V43" s="116" t="b">
        <f t="shared" si="6"/>
        <v>0</v>
      </c>
      <c r="W43" s="1" t="b">
        <f t="shared" si="7"/>
        <v>0</v>
      </c>
      <c r="X43" s="25" t="s">
        <v>1607</v>
      </c>
      <c r="Y43" s="25" t="str">
        <f t="shared" si="8"/>
        <v>e + NO3 + M-&gt;NO3- + M</v>
      </c>
      <c r="Z43" s="29">
        <f t="shared" si="9"/>
        <v>2.7000000000000001E-17</v>
      </c>
    </row>
    <row r="44" spans="1:26" ht="22.5" hidden="1" customHeight="1" x14ac:dyDescent="0.25">
      <c r="A44" s="1" t="s">
        <v>84</v>
      </c>
      <c r="B44" s="1" t="s">
        <v>1</v>
      </c>
      <c r="C44" s="2" t="s">
        <v>0</v>
      </c>
      <c r="D44" s="22" t="s">
        <v>816</v>
      </c>
      <c r="E44" s="2"/>
      <c r="F44" s="3"/>
      <c r="G44" s="4" t="s">
        <v>7</v>
      </c>
      <c r="H44" s="112" t="s">
        <v>1555</v>
      </c>
      <c r="I44" s="4" t="s">
        <v>7</v>
      </c>
      <c r="J44" s="124" t="s">
        <v>1392</v>
      </c>
      <c r="K44" s="2" t="s">
        <v>0</v>
      </c>
      <c r="L44" s="22" t="s">
        <v>654</v>
      </c>
      <c r="M44" s="22"/>
      <c r="N44" s="125"/>
      <c r="O44" s="126">
        <f>5*10^-14</f>
        <v>5.0000000000000002E-14</v>
      </c>
      <c r="P44" s="146">
        <v>5.0000000000000002E-14</v>
      </c>
      <c r="Q44" s="118" t="s">
        <v>1070</v>
      </c>
      <c r="R44" s="1"/>
      <c r="S44" s="1" t="s">
        <v>1049</v>
      </c>
      <c r="T44" s="1"/>
      <c r="U44" s="24" t="s">
        <v>756</v>
      </c>
      <c r="V44" s="116" t="b">
        <f t="shared" si="6"/>
        <v>0</v>
      </c>
      <c r="W44" s="1" t="b">
        <f t="shared" si="7"/>
        <v>0</v>
      </c>
      <c r="X44" s="25" t="s">
        <v>1607</v>
      </c>
      <c r="Y44" s="25" t="str">
        <f t="shared" si="8"/>
        <v>e + HNO3-&gt;NO2- + OH</v>
      </c>
      <c r="Z44" s="29">
        <f t="shared" si="9"/>
        <v>5.0000000000000002E-14</v>
      </c>
    </row>
    <row r="45" spans="1:26" ht="22.5" customHeight="1" x14ac:dyDescent="0.25">
      <c r="A45" s="1" t="s">
        <v>1252</v>
      </c>
      <c r="B45" s="1" t="s">
        <v>1054</v>
      </c>
      <c r="C45" s="2" t="s">
        <v>0</v>
      </c>
      <c r="D45" s="22" t="s">
        <v>687</v>
      </c>
      <c r="E45" s="2"/>
      <c r="F45" s="3"/>
      <c r="G45" s="4" t="s">
        <v>7</v>
      </c>
      <c r="H45" s="112" t="s">
        <v>1559</v>
      </c>
      <c r="I45" s="4" t="s">
        <v>7</v>
      </c>
      <c r="J45" s="124" t="s">
        <v>637</v>
      </c>
      <c r="K45" s="4" t="s">
        <v>0</v>
      </c>
      <c r="L45" s="22" t="s">
        <v>687</v>
      </c>
      <c r="M45" s="22"/>
      <c r="N45" s="125"/>
      <c r="O45" s="126">
        <f>2.3*10^-20</f>
        <v>2.2999999999999996E-20</v>
      </c>
      <c r="P45" s="146">
        <v>2.2999999999999996E-20</v>
      </c>
      <c r="Q45" s="118" t="s">
        <v>1253</v>
      </c>
      <c r="R45" s="1"/>
      <c r="S45" s="1" t="s">
        <v>1283</v>
      </c>
      <c r="T45" s="1"/>
      <c r="U45" s="24"/>
      <c r="V45" s="116" t="b">
        <f t="shared" si="6"/>
        <v>0</v>
      </c>
      <c r="W45" s="1" t="b">
        <f t="shared" si="7"/>
        <v>0</v>
      </c>
      <c r="Y45" s="25" t="str">
        <f t="shared" si="8"/>
        <v>O2(4.5) + M-&gt;O2 + M</v>
      </c>
      <c r="Z45" s="29">
        <f t="shared" si="9"/>
        <v>2.2999999999999996E-20</v>
      </c>
    </row>
    <row r="46" spans="1:26" ht="22.5" customHeight="1" x14ac:dyDescent="0.25">
      <c r="A46" s="1" t="s">
        <v>1252</v>
      </c>
      <c r="B46" s="1" t="s">
        <v>1054</v>
      </c>
      <c r="C46" s="2" t="s">
        <v>0</v>
      </c>
      <c r="D46" s="22" t="s">
        <v>687</v>
      </c>
      <c r="E46" s="2"/>
      <c r="F46" s="3"/>
      <c r="G46" s="4" t="s">
        <v>7</v>
      </c>
      <c r="H46" s="112" t="s">
        <v>1559</v>
      </c>
      <c r="I46" s="4" t="s">
        <v>7</v>
      </c>
      <c r="J46" s="119" t="s">
        <v>1486</v>
      </c>
      <c r="K46" s="4" t="s">
        <v>0</v>
      </c>
      <c r="L46" s="22" t="s">
        <v>687</v>
      </c>
      <c r="M46" s="22"/>
      <c r="N46" s="125"/>
      <c r="O46" s="126">
        <f>1.86*10^-19</f>
        <v>1.8600000000000001E-19</v>
      </c>
      <c r="P46" s="146">
        <v>1.8600000000000001E-19</v>
      </c>
      <c r="Q46" s="118" t="s">
        <v>1275</v>
      </c>
      <c r="R46" s="1"/>
      <c r="S46" s="1" t="s">
        <v>1283</v>
      </c>
      <c r="T46" s="1"/>
      <c r="U46" s="24"/>
      <c r="V46" s="116" t="b">
        <f t="shared" si="6"/>
        <v>0</v>
      </c>
      <c r="W46" s="1" t="b">
        <f t="shared" si="7"/>
        <v>0</v>
      </c>
      <c r="Y46" s="25" t="str">
        <f t="shared" si="8"/>
        <v>O2(4.5) + M-&gt;O2(a1) + M</v>
      </c>
      <c r="Z46" s="29">
        <f t="shared" si="9"/>
        <v>1.8600000000000001E-19</v>
      </c>
    </row>
    <row r="47" spans="1:26" ht="22.5" customHeight="1" x14ac:dyDescent="0.25">
      <c r="A47" s="1" t="s">
        <v>1252</v>
      </c>
      <c r="B47" s="1" t="s">
        <v>1054</v>
      </c>
      <c r="C47" s="2" t="s">
        <v>0</v>
      </c>
      <c r="D47" s="22" t="s">
        <v>687</v>
      </c>
      <c r="E47" s="2"/>
      <c r="F47" s="3"/>
      <c r="G47" s="4" t="s">
        <v>7</v>
      </c>
      <c r="H47" s="112" t="s">
        <v>1559</v>
      </c>
      <c r="I47" s="4" t="s">
        <v>7</v>
      </c>
      <c r="J47" s="119" t="s">
        <v>1487</v>
      </c>
      <c r="K47" s="4" t="s">
        <v>0</v>
      </c>
      <c r="L47" s="22" t="s">
        <v>687</v>
      </c>
      <c r="M47" s="22"/>
      <c r="N47" s="125"/>
      <c r="O47" s="126">
        <f>8.1*10^-20</f>
        <v>8.0999999999999993E-20</v>
      </c>
      <c r="P47" s="146">
        <v>8.0999999999999993E-20</v>
      </c>
      <c r="Q47" s="118" t="s">
        <v>1276</v>
      </c>
      <c r="R47" s="1"/>
      <c r="S47" s="1" t="s">
        <v>1283</v>
      </c>
      <c r="T47" s="1"/>
      <c r="U47" s="24"/>
      <c r="V47" s="116" t="b">
        <f t="shared" si="6"/>
        <v>0</v>
      </c>
      <c r="W47" s="1" t="b">
        <f t="shared" si="7"/>
        <v>0</v>
      </c>
      <c r="Y47" s="25" t="str">
        <f t="shared" si="8"/>
        <v>O2(4.5) + M-&gt;O2(b1) + M</v>
      </c>
      <c r="Z47" s="29">
        <f t="shared" si="9"/>
        <v>8.0999999999999993E-20</v>
      </c>
    </row>
    <row r="48" spans="1:26" ht="22.5" hidden="1" customHeight="1" x14ac:dyDescent="0.25">
      <c r="A48" s="1" t="s">
        <v>85</v>
      </c>
      <c r="B48" s="1" t="s">
        <v>1319</v>
      </c>
      <c r="C48" s="2" t="s">
        <v>0</v>
      </c>
      <c r="D48" s="22" t="s">
        <v>636</v>
      </c>
      <c r="E48" s="2"/>
      <c r="F48" s="3"/>
      <c r="G48" s="4" t="s">
        <v>7</v>
      </c>
      <c r="H48" s="112" t="s">
        <v>1556</v>
      </c>
      <c r="I48" s="4" t="s">
        <v>7</v>
      </c>
      <c r="J48" s="124" t="s">
        <v>688</v>
      </c>
      <c r="K48" s="4" t="s">
        <v>0</v>
      </c>
      <c r="L48" s="22" t="s">
        <v>1</v>
      </c>
      <c r="M48" s="2"/>
      <c r="N48" s="125"/>
      <c r="O48" s="126">
        <f>2.6*10^-16</f>
        <v>2.5999999999999998E-16</v>
      </c>
      <c r="P48" s="146">
        <v>2.5999999999999998E-16</v>
      </c>
      <c r="Q48" s="118" t="s">
        <v>1071</v>
      </c>
      <c r="R48" s="1"/>
      <c r="S48" s="1" t="s">
        <v>1049</v>
      </c>
      <c r="T48" s="1"/>
      <c r="U48" s="24" t="s">
        <v>691</v>
      </c>
      <c r="V48" s="116" t="b">
        <f t="shared" si="6"/>
        <v>0</v>
      </c>
      <c r="W48" s="1" t="b">
        <f t="shared" si="7"/>
        <v>0</v>
      </c>
      <c r="X48" s="25" t="s">
        <v>1607</v>
      </c>
      <c r="Y48" s="25" t="str">
        <f t="shared" si="8"/>
        <v>O- + N-&gt;NO + e</v>
      </c>
      <c r="Z48" s="29">
        <f t="shared" si="9"/>
        <v>2.5999999999999998E-16</v>
      </c>
    </row>
    <row r="49" spans="1:26" ht="22.5" hidden="1" customHeight="1" x14ac:dyDescent="0.25">
      <c r="A49" s="1" t="s">
        <v>86</v>
      </c>
      <c r="B49" s="1" t="s">
        <v>1319</v>
      </c>
      <c r="C49" s="2" t="s">
        <v>0</v>
      </c>
      <c r="D49" s="22" t="s">
        <v>689</v>
      </c>
      <c r="E49" s="2"/>
      <c r="F49" s="3"/>
      <c r="G49" s="4" t="s">
        <v>7</v>
      </c>
      <c r="H49" s="112" t="s">
        <v>1556</v>
      </c>
      <c r="I49" s="4" t="s">
        <v>7</v>
      </c>
      <c r="J49" s="124" t="s">
        <v>1259</v>
      </c>
      <c r="K49" s="4" t="s">
        <v>0</v>
      </c>
      <c r="L49" s="22" t="s">
        <v>1</v>
      </c>
      <c r="M49" s="2"/>
      <c r="N49" s="125"/>
      <c r="O49" s="126">
        <f>5*10^-19</f>
        <v>5.0000000000000004E-19</v>
      </c>
      <c r="P49" s="146">
        <v>1.0000000000000001E-18</v>
      </c>
      <c r="Q49" s="118" t="s">
        <v>1142</v>
      </c>
      <c r="R49" s="1"/>
      <c r="S49" s="1" t="s">
        <v>1049</v>
      </c>
      <c r="T49" s="1"/>
      <c r="U49" s="24" t="s">
        <v>755</v>
      </c>
      <c r="V49" s="116" t="b">
        <f t="shared" si="6"/>
        <v>0</v>
      </c>
      <c r="W49" s="1" t="b">
        <f t="shared" si="7"/>
        <v>0</v>
      </c>
      <c r="X49" s="25" t="s">
        <v>1607</v>
      </c>
      <c r="Y49" s="25" t="str">
        <f t="shared" si="8"/>
        <v>O- + N2-&gt;N2O + e</v>
      </c>
      <c r="Z49" s="29">
        <f t="shared" si="9"/>
        <v>5.0000000000000004E-19</v>
      </c>
    </row>
    <row r="50" spans="1:26" ht="22.5" hidden="1" customHeight="1" x14ac:dyDescent="0.25">
      <c r="A50" s="1" t="s">
        <v>87</v>
      </c>
      <c r="B50" s="1" t="s">
        <v>1319</v>
      </c>
      <c r="C50" s="2" t="s">
        <v>0</v>
      </c>
      <c r="D50" s="1" t="s">
        <v>1488</v>
      </c>
      <c r="E50" s="2"/>
      <c r="F50" s="3"/>
      <c r="G50" s="4" t="s">
        <v>7</v>
      </c>
      <c r="H50" s="112" t="s">
        <v>1556</v>
      </c>
      <c r="I50" s="4" t="s">
        <v>7</v>
      </c>
      <c r="J50" s="124" t="s">
        <v>3</v>
      </c>
      <c r="K50" s="2" t="s">
        <v>0</v>
      </c>
      <c r="L50" s="22" t="s">
        <v>639</v>
      </c>
      <c r="M50" s="22" t="s">
        <v>0</v>
      </c>
      <c r="N50" s="125" t="s">
        <v>1</v>
      </c>
      <c r="O50" s="126">
        <f>2.2*10^-15</f>
        <v>2.2000000000000002E-15</v>
      </c>
      <c r="P50" s="146">
        <v>2.2000000000000002E-15</v>
      </c>
      <c r="Q50" s="118" t="s">
        <v>1073</v>
      </c>
      <c r="R50" s="1"/>
      <c r="S50" s="1" t="s">
        <v>1049</v>
      </c>
      <c r="T50" s="1"/>
      <c r="U50" s="24" t="s">
        <v>691</v>
      </c>
      <c r="V50" s="116" t="b">
        <f t="shared" si="6"/>
        <v>0</v>
      </c>
      <c r="W50" s="1" t="b">
        <f t="shared" si="7"/>
        <v>0</v>
      </c>
      <c r="X50" s="25" t="s">
        <v>1607</v>
      </c>
      <c r="Y50" s="25" t="str">
        <f t="shared" si="8"/>
        <v>O- + N2(A3)-&gt;N2 + O + e</v>
      </c>
      <c r="Z50" s="29">
        <f t="shared" si="9"/>
        <v>2.2000000000000002E-15</v>
      </c>
    </row>
    <row r="51" spans="1:26" ht="22.5" hidden="1" customHeight="1" x14ac:dyDescent="0.25">
      <c r="A51" s="1" t="s">
        <v>88</v>
      </c>
      <c r="B51" s="1" t="s">
        <v>1319</v>
      </c>
      <c r="C51" s="2" t="s">
        <v>0</v>
      </c>
      <c r="D51" s="1" t="s">
        <v>1339</v>
      </c>
      <c r="E51" s="2"/>
      <c r="F51" s="3"/>
      <c r="G51" s="4" t="s">
        <v>7</v>
      </c>
      <c r="H51" s="112" t="s">
        <v>1556</v>
      </c>
      <c r="I51" s="4" t="s">
        <v>7</v>
      </c>
      <c r="J51" s="124" t="s">
        <v>3</v>
      </c>
      <c r="K51" s="2" t="s">
        <v>0</v>
      </c>
      <c r="L51" s="22" t="s">
        <v>639</v>
      </c>
      <c r="M51" s="22" t="s">
        <v>0</v>
      </c>
      <c r="N51" s="125" t="s">
        <v>1</v>
      </c>
      <c r="O51" s="126">
        <f>1.9*10^-15</f>
        <v>1.9000000000000001E-15</v>
      </c>
      <c r="P51" s="146">
        <v>1.9000000000000001E-15</v>
      </c>
      <c r="Q51" s="118" t="s">
        <v>1074</v>
      </c>
      <c r="R51" s="1"/>
      <c r="S51" s="1" t="s">
        <v>1049</v>
      </c>
      <c r="T51" s="1"/>
      <c r="U51" s="24" t="s">
        <v>691</v>
      </c>
      <c r="V51" s="116" t="b">
        <f t="shared" si="6"/>
        <v>0</v>
      </c>
      <c r="W51" s="1" t="b">
        <f t="shared" si="7"/>
        <v>0</v>
      </c>
      <c r="X51" s="25" t="s">
        <v>1607</v>
      </c>
      <c r="Y51" s="25" t="str">
        <f t="shared" si="8"/>
        <v>O- + N2(esum)-&gt;N2 + O + e</v>
      </c>
      <c r="Z51" s="29">
        <f t="shared" si="9"/>
        <v>1.9000000000000001E-15</v>
      </c>
    </row>
    <row r="52" spans="1:26" ht="22.5" hidden="1" customHeight="1" x14ac:dyDescent="0.25">
      <c r="A52" s="1" t="s">
        <v>266</v>
      </c>
      <c r="B52" s="1" t="s">
        <v>1383</v>
      </c>
      <c r="C52" s="2" t="s">
        <v>0</v>
      </c>
      <c r="D52" s="22" t="s">
        <v>639</v>
      </c>
      <c r="E52" s="2"/>
      <c r="F52" s="22"/>
      <c r="G52" s="4" t="s">
        <v>7</v>
      </c>
      <c r="H52" s="112" t="s">
        <v>1557</v>
      </c>
      <c r="I52" s="4" t="s">
        <v>7</v>
      </c>
      <c r="J52" s="119" t="s">
        <v>1257</v>
      </c>
      <c r="K52" s="2" t="s">
        <v>0</v>
      </c>
      <c r="L52" s="22" t="s">
        <v>699</v>
      </c>
      <c r="M52" s="2"/>
      <c r="N52" s="125"/>
      <c r="O52" s="126">
        <f>8*10^-16</f>
        <v>7.9999999999999998E-16</v>
      </c>
      <c r="P52" s="146">
        <v>7.9999999999999998E-16</v>
      </c>
      <c r="Q52" s="118" t="s">
        <v>1123</v>
      </c>
      <c r="R52" s="1"/>
      <c r="S52" s="1" t="s">
        <v>1049</v>
      </c>
      <c r="T52" s="1"/>
      <c r="U52" s="24" t="s">
        <v>796</v>
      </c>
      <c r="V52" s="116" t="b">
        <f>OR(B52=$V$1,D52=$V$1,B52="2"&amp;$V$1)</f>
        <v>0</v>
      </c>
      <c r="W52" s="1" t="b">
        <f>OR(J52=$W$1,L52=$W$1,N52=$W$1,J52="2"&amp;$W$1,L52="2"&amp;$W$1,N52="2"&amp;$W$1)</f>
        <v>0</v>
      </c>
      <c r="Y52" s="25" t="str">
        <f>B52&amp;" + "&amp;D52&amp;IF(F52&lt;&gt;""," + "&amp;F52,"")&amp;"-&gt;"&amp;J52&amp;" + "&amp;L52&amp;IF(N52&lt;&gt;""," + "&amp;N52,"")</f>
        <v>H3+ + O-&gt;OH+ + H2</v>
      </c>
      <c r="Z52" s="29">
        <f>O52</f>
        <v>7.9999999999999998E-16</v>
      </c>
    </row>
    <row r="53" spans="1:26" ht="22.5" hidden="1" customHeight="1" x14ac:dyDescent="0.25">
      <c r="A53" s="1" t="s">
        <v>90</v>
      </c>
      <c r="B53" s="1" t="s">
        <v>1319</v>
      </c>
      <c r="C53" s="2" t="s">
        <v>0</v>
      </c>
      <c r="D53" s="22" t="s">
        <v>649</v>
      </c>
      <c r="E53" s="2"/>
      <c r="F53" s="3"/>
      <c r="G53" s="4" t="s">
        <v>7</v>
      </c>
      <c r="H53" s="112" t="s">
        <v>1556</v>
      </c>
      <c r="I53" s="4" t="s">
        <v>7</v>
      </c>
      <c r="J53" s="124" t="s">
        <v>638</v>
      </c>
      <c r="K53" s="4" t="s">
        <v>0</v>
      </c>
      <c r="L53" s="22" t="s">
        <v>1</v>
      </c>
      <c r="M53" s="22"/>
      <c r="N53" s="125"/>
      <c r="O53" s="126">
        <f>5*10^-21</f>
        <v>4.9999999999999997E-21</v>
      </c>
      <c r="P53" s="146">
        <v>1.0000000000000001E-18</v>
      </c>
      <c r="Q53" s="118" t="s">
        <v>1651</v>
      </c>
      <c r="R53" s="1"/>
      <c r="S53" s="1" t="s">
        <v>1049</v>
      </c>
      <c r="T53" s="1"/>
      <c r="U53" s="24" t="s">
        <v>691</v>
      </c>
      <c r="V53" s="116" t="b">
        <f>OR(B53=$V$1,D53=$V$1,B53="2"&amp;$V$1)</f>
        <v>0</v>
      </c>
      <c r="W53" s="1" t="b">
        <f>OR(J53=$W$1,L53=$W$1,N53=$W$1,J53="2"&amp;$W$1,L53="2"&amp;$W$1,N53="2"&amp;$W$1)</f>
        <v>0</v>
      </c>
      <c r="X53" s="25" t="s">
        <v>1607</v>
      </c>
      <c r="Y53" s="25" t="str">
        <f>B53&amp;" + "&amp;D53&amp;IF(F53&lt;&gt;""," + "&amp;F53,"")&amp;"-&gt;"&amp;J53&amp;" + "&amp;L53&amp;IF(N53&lt;&gt;""," + "&amp;N53,"")</f>
        <v>O- + O2-&gt;O3 + e</v>
      </c>
      <c r="Z53" s="29">
        <f>O53</f>
        <v>4.9999999999999997E-21</v>
      </c>
    </row>
    <row r="54" spans="1:26" ht="22.5" hidden="1" customHeight="1" x14ac:dyDescent="0.25">
      <c r="A54" s="1" t="s">
        <v>91</v>
      </c>
      <c r="B54" s="1" t="s">
        <v>1319</v>
      </c>
      <c r="C54" s="2" t="s">
        <v>0</v>
      </c>
      <c r="D54" s="1" t="s">
        <v>1489</v>
      </c>
      <c r="E54" s="2"/>
      <c r="F54" s="3"/>
      <c r="G54" s="4" t="s">
        <v>7</v>
      </c>
      <c r="H54" s="112" t="s">
        <v>1556</v>
      </c>
      <c r="I54" s="4" t="s">
        <v>7</v>
      </c>
      <c r="J54" s="124" t="s">
        <v>638</v>
      </c>
      <c r="K54" s="2" t="s">
        <v>0</v>
      </c>
      <c r="L54" s="22" t="s">
        <v>1</v>
      </c>
      <c r="M54" s="22"/>
      <c r="N54" s="125"/>
      <c r="O54" s="126">
        <f>3*10^-16</f>
        <v>2.9999999999999999E-16</v>
      </c>
      <c r="P54" s="146">
        <v>2.9999999999999999E-16</v>
      </c>
      <c r="Q54" s="118" t="s">
        <v>1076</v>
      </c>
      <c r="R54" s="1"/>
      <c r="S54" s="1" t="s">
        <v>1049</v>
      </c>
      <c r="T54" s="1"/>
      <c r="U54" s="24" t="s">
        <v>691</v>
      </c>
      <c r="V54" s="116" t="b">
        <f>OR(B54=$V$1,D54=$V$1,B54="2"&amp;$V$1)</f>
        <v>0</v>
      </c>
      <c r="W54" s="1" t="b">
        <f>OR(J54=$W$1,L54=$W$1,N54=$W$1,J54="2"&amp;$W$1,L54="2"&amp;$W$1,N54="2"&amp;$W$1)</f>
        <v>0</v>
      </c>
      <c r="X54" s="25" t="s">
        <v>1607</v>
      </c>
      <c r="Y54" s="25" t="str">
        <f>B54&amp;" + "&amp;D54&amp;IF(F54&lt;&gt;""," + "&amp;F54,"")&amp;"-&gt;"&amp;J54&amp;" + "&amp;L54&amp;IF(N54&lt;&gt;""," + "&amp;N54,"")</f>
        <v>O- + O2(a1)-&gt;O3 + e</v>
      </c>
      <c r="Z54" s="29">
        <f>O54</f>
        <v>2.9999999999999999E-16</v>
      </c>
    </row>
    <row r="55" spans="1:26" ht="22.5" hidden="1" customHeight="1" x14ac:dyDescent="0.25">
      <c r="A55" s="1" t="s">
        <v>92</v>
      </c>
      <c r="B55" s="1" t="s">
        <v>1319</v>
      </c>
      <c r="C55" s="2" t="s">
        <v>0</v>
      </c>
      <c r="D55" s="22" t="s">
        <v>723</v>
      </c>
      <c r="E55" s="2"/>
      <c r="F55" s="3"/>
      <c r="G55" s="4" t="s">
        <v>7</v>
      </c>
      <c r="H55" s="112" t="s">
        <v>1556</v>
      </c>
      <c r="I55" s="4" t="s">
        <v>7</v>
      </c>
      <c r="J55" s="124" t="s">
        <v>1409</v>
      </c>
      <c r="K55" s="4" t="s">
        <v>0</v>
      </c>
      <c r="L55" s="22" t="s">
        <v>1</v>
      </c>
      <c r="M55" s="2"/>
      <c r="N55" s="125"/>
      <c r="O55" s="126">
        <f>3*10^-16</f>
        <v>2.9999999999999999E-16</v>
      </c>
      <c r="P55" s="146">
        <v>7.9999999999999998E-16</v>
      </c>
      <c r="Q55" s="118" t="s">
        <v>1076</v>
      </c>
      <c r="R55" s="1"/>
      <c r="S55" s="1" t="s">
        <v>1049</v>
      </c>
      <c r="T55" s="1"/>
      <c r="U55" s="24" t="s">
        <v>691</v>
      </c>
      <c r="V55" s="116" t="b">
        <f>OR(B55=$V$1,D55=$V$1,B55="2"&amp;$V$1)</f>
        <v>0</v>
      </c>
      <c r="W55" s="1" t="b">
        <f>OR(J55=$W$1,L55=$W$1,N55=$W$1,J55="2"&amp;$W$1,L55="2"&amp;$W$1,N55="2"&amp;$W$1)</f>
        <v>0</v>
      </c>
      <c r="X55" s="25" t="s">
        <v>1607</v>
      </c>
      <c r="Y55" s="25" t="str">
        <f>B55&amp;" + "&amp;D55&amp;IF(F55&lt;&gt;""," + "&amp;F55,"")&amp;"-&gt;"&amp;J55&amp;" + "&amp;L55&amp;IF(N55&lt;&gt;""," + "&amp;N55,"")</f>
        <v>O- + O3-&gt;2O2 + e</v>
      </c>
      <c r="Z55" s="29">
        <f>O55</f>
        <v>2.9999999999999999E-16</v>
      </c>
    </row>
    <row r="56" spans="1:26" ht="22.5" hidden="1" customHeight="1" x14ac:dyDescent="0.25">
      <c r="A56" s="1" t="s">
        <v>93</v>
      </c>
      <c r="B56" s="1" t="s">
        <v>1319</v>
      </c>
      <c r="C56" s="2" t="s">
        <v>0</v>
      </c>
      <c r="D56" s="22" t="s">
        <v>688</v>
      </c>
      <c r="E56" s="2"/>
      <c r="F56" s="3"/>
      <c r="G56" s="4" t="s">
        <v>7</v>
      </c>
      <c r="H56" s="112" t="s">
        <v>1556</v>
      </c>
      <c r="I56" s="4" t="s">
        <v>7</v>
      </c>
      <c r="J56" s="124" t="s">
        <v>730</v>
      </c>
      <c r="K56" s="4" t="s">
        <v>0</v>
      </c>
      <c r="L56" s="22" t="s">
        <v>1</v>
      </c>
      <c r="M56" s="2"/>
      <c r="N56" s="125"/>
      <c r="O56" s="126">
        <f>2.6*10^-16</f>
        <v>2.5999999999999998E-16</v>
      </c>
      <c r="P56" s="146">
        <v>2.5999999999999998E-16</v>
      </c>
      <c r="Q56" s="118" t="s">
        <v>1071</v>
      </c>
      <c r="R56" s="1"/>
      <c r="S56" s="1" t="s">
        <v>1049</v>
      </c>
      <c r="T56" s="1"/>
      <c r="U56" s="24" t="s">
        <v>691</v>
      </c>
      <c r="V56" s="116" t="b">
        <f>OR(B56=$V$1,D56=$V$1,B56="2"&amp;$V$1)</f>
        <v>0</v>
      </c>
      <c r="W56" s="1" t="b">
        <f>OR(J56=$W$1,L56=$W$1,N56=$W$1,J56="2"&amp;$W$1,L56="2"&amp;$W$1,N56="2"&amp;$W$1)</f>
        <v>1</v>
      </c>
      <c r="X56" s="25" t="s">
        <v>1607</v>
      </c>
      <c r="Y56" s="25" t="str">
        <f>B56&amp;" + "&amp;D56&amp;IF(F56&lt;&gt;""," + "&amp;F56,"")&amp;"-&gt;"&amp;J56&amp;" + "&amp;L56&amp;IF(N56&lt;&gt;""," + "&amp;N56,"")</f>
        <v>O- + NO-&gt;NO2 + e</v>
      </c>
      <c r="Z56" s="29">
        <f>O56</f>
        <v>2.5999999999999998E-16</v>
      </c>
    </row>
    <row r="57" spans="1:26" ht="22.5" hidden="1" customHeight="1" x14ac:dyDescent="0.25">
      <c r="A57" s="1" t="s">
        <v>94</v>
      </c>
      <c r="B57" s="1" t="s">
        <v>1319</v>
      </c>
      <c r="C57" s="2" t="s">
        <v>0</v>
      </c>
      <c r="D57" s="22" t="s">
        <v>699</v>
      </c>
      <c r="E57" s="2"/>
      <c r="F57" s="3"/>
      <c r="G57" s="4" t="s">
        <v>7</v>
      </c>
      <c r="H57" s="112" t="s">
        <v>1556</v>
      </c>
      <c r="I57" s="4" t="s">
        <v>7</v>
      </c>
      <c r="J57" s="124" t="s">
        <v>1260</v>
      </c>
      <c r="K57" s="4" t="s">
        <v>0</v>
      </c>
      <c r="L57" s="22" t="s">
        <v>1</v>
      </c>
      <c r="M57" s="2"/>
      <c r="N57" s="125"/>
      <c r="O57" s="126">
        <f>7*10^-16</f>
        <v>6.9999999999999994E-16</v>
      </c>
      <c r="P57" s="146">
        <v>6.9999999999999994E-16</v>
      </c>
      <c r="Q57" s="118" t="s">
        <v>1077</v>
      </c>
      <c r="R57" s="1"/>
      <c r="S57" s="1" t="s">
        <v>1049</v>
      </c>
      <c r="T57" s="1"/>
      <c r="U57" s="24" t="s">
        <v>691</v>
      </c>
      <c r="V57" s="116" t="b">
        <f>OR(B57=$V$1,D57=$V$1,B57="2"&amp;$V$1)</f>
        <v>0</v>
      </c>
      <c r="W57" s="1" t="b">
        <f>OR(J57=$W$1,L57=$W$1,N57=$W$1,J57="2"&amp;$W$1,L57="2"&amp;$W$1,N57="2"&amp;$W$1)</f>
        <v>0</v>
      </c>
      <c r="X57" s="25" t="s">
        <v>1607</v>
      </c>
      <c r="Y57" s="25" t="str">
        <f>B57&amp;" + "&amp;D57&amp;IF(F57&lt;&gt;""," + "&amp;F57,"")&amp;"-&gt;"&amp;J57&amp;" + "&amp;L57&amp;IF(N57&lt;&gt;""," + "&amp;N57,"")</f>
        <v>O- + H2-&gt;H2O + e</v>
      </c>
      <c r="Z57" s="29">
        <f>O57</f>
        <v>6.9999999999999994E-16</v>
      </c>
    </row>
    <row r="58" spans="1:26" ht="22.5" hidden="1" customHeight="1" x14ac:dyDescent="0.25">
      <c r="A58" s="1" t="s">
        <v>95</v>
      </c>
      <c r="B58" s="1" t="s">
        <v>1393</v>
      </c>
      <c r="C58" s="2" t="s">
        <v>0</v>
      </c>
      <c r="D58" s="22" t="s">
        <v>636</v>
      </c>
      <c r="E58" s="2"/>
      <c r="F58" s="3"/>
      <c r="G58" s="4" t="s">
        <v>7</v>
      </c>
      <c r="H58" s="112" t="s">
        <v>1556</v>
      </c>
      <c r="I58" s="4" t="s">
        <v>7</v>
      </c>
      <c r="J58" s="124" t="s">
        <v>1261</v>
      </c>
      <c r="K58" s="4" t="s">
        <v>0</v>
      </c>
      <c r="L58" s="22" t="s">
        <v>1</v>
      </c>
      <c r="M58" s="2"/>
      <c r="N58" s="125"/>
      <c r="O58" s="126">
        <f>5*10^-16</f>
        <v>5.0000000000000004E-16</v>
      </c>
      <c r="P58" s="146">
        <v>5.0000000000000004E-16</v>
      </c>
      <c r="Q58" s="118" t="s">
        <v>1078</v>
      </c>
      <c r="R58" s="1"/>
      <c r="S58" s="1" t="s">
        <v>1049</v>
      </c>
      <c r="T58" s="1"/>
      <c r="U58" s="24" t="s">
        <v>691</v>
      </c>
      <c r="V58" s="116" t="b">
        <f>OR(B58=$V$1,D58=$V$1,B58="2"&amp;$V$1)</f>
        <v>0</v>
      </c>
      <c r="W58" s="1" t="b">
        <f>OR(J58=$W$1,L58=$W$1,N58=$W$1,J58="2"&amp;$W$1,L58="2"&amp;$W$1,N58="2"&amp;$W$1)</f>
        <v>1</v>
      </c>
      <c r="X58" s="25" t="s">
        <v>1607</v>
      </c>
      <c r="Y58" s="25" t="str">
        <f>B58&amp;" + "&amp;D58&amp;IF(F58&lt;&gt;""," + "&amp;F58,"")&amp;"-&gt;"&amp;J58&amp;" + "&amp;L58&amp;IF(N58&lt;&gt;""," + "&amp;N58,"")</f>
        <v>O2- + N-&gt;NO2 + e</v>
      </c>
      <c r="Z58" s="29">
        <f>O58</f>
        <v>5.0000000000000004E-16</v>
      </c>
    </row>
    <row r="59" spans="1:26" ht="22.5" hidden="1" customHeight="1" x14ac:dyDescent="0.25">
      <c r="A59" s="1" t="s">
        <v>96</v>
      </c>
      <c r="B59" s="1" t="s">
        <v>1393</v>
      </c>
      <c r="C59" s="2" t="s">
        <v>0</v>
      </c>
      <c r="D59" s="22" t="s">
        <v>689</v>
      </c>
      <c r="E59" s="2"/>
      <c r="F59" s="3"/>
      <c r="G59" s="4" t="s">
        <v>7</v>
      </c>
      <c r="H59" s="112" t="s">
        <v>1556</v>
      </c>
      <c r="I59" s="4" t="s">
        <v>7</v>
      </c>
      <c r="J59" s="124" t="s">
        <v>3</v>
      </c>
      <c r="K59" s="4" t="s">
        <v>0</v>
      </c>
      <c r="L59" s="22" t="s">
        <v>649</v>
      </c>
      <c r="M59" s="2" t="s">
        <v>0</v>
      </c>
      <c r="N59" s="125" t="s">
        <v>1</v>
      </c>
      <c r="O59" s="126">
        <f>1.9*10^-18*(Teff/300)^0.5*EXP(-4990/Teff)</f>
        <v>1.3448437534550617E-25</v>
      </c>
      <c r="P59" s="146">
        <v>1.3448437534550617E-25</v>
      </c>
      <c r="Q59" s="118" t="s">
        <v>1652</v>
      </c>
      <c r="R59" s="1"/>
      <c r="S59" s="1" t="s">
        <v>1049</v>
      </c>
      <c r="T59" s="1"/>
      <c r="U59" s="24" t="s">
        <v>691</v>
      </c>
      <c r="V59" s="116" t="b">
        <f>OR(B59=$V$1,D59=$V$1,B59="2"&amp;$V$1)</f>
        <v>0</v>
      </c>
      <c r="W59" s="1" t="b">
        <f>OR(J59=$W$1,L59=$W$1,N59=$W$1,J59="2"&amp;$W$1,L59="2"&amp;$W$1,N59="2"&amp;$W$1)</f>
        <v>0</v>
      </c>
      <c r="X59" s="25" t="s">
        <v>1607</v>
      </c>
      <c r="Y59" s="25" t="str">
        <f>B59&amp;" + "&amp;D59&amp;IF(F59&lt;&gt;""," + "&amp;F59,"")&amp;"-&gt;"&amp;J59&amp;" + "&amp;L59&amp;IF(N59&lt;&gt;""," + "&amp;N59,"")</f>
        <v>O2- + N2-&gt;N2 + O2 + e</v>
      </c>
      <c r="Z59" s="29">
        <f>O59</f>
        <v>1.3448437534550617E-25</v>
      </c>
    </row>
    <row r="60" spans="1:26" ht="22.5" hidden="1" customHeight="1" x14ac:dyDescent="0.25">
      <c r="A60" s="1" t="s">
        <v>97</v>
      </c>
      <c r="B60" s="1" t="s">
        <v>1393</v>
      </c>
      <c r="C60" s="2" t="s">
        <v>0</v>
      </c>
      <c r="D60" s="1" t="s">
        <v>1488</v>
      </c>
      <c r="E60" s="2"/>
      <c r="F60" s="3"/>
      <c r="G60" s="4" t="s">
        <v>7</v>
      </c>
      <c r="H60" s="112" t="s">
        <v>1556</v>
      </c>
      <c r="I60" s="4" t="s">
        <v>7</v>
      </c>
      <c r="J60" s="124" t="s">
        <v>3</v>
      </c>
      <c r="K60" s="2" t="s">
        <v>0</v>
      </c>
      <c r="L60" s="22" t="s">
        <v>649</v>
      </c>
      <c r="M60" s="2" t="s">
        <v>0</v>
      </c>
      <c r="N60" s="125" t="s">
        <v>1</v>
      </c>
      <c r="O60" s="126">
        <f>2.1*10^-15</f>
        <v>2.1000000000000002E-15</v>
      </c>
      <c r="P60" s="146">
        <v>2.1000000000000002E-15</v>
      </c>
      <c r="Q60" s="118" t="s">
        <v>1079</v>
      </c>
      <c r="R60" s="1"/>
      <c r="S60" s="1" t="s">
        <v>1049</v>
      </c>
      <c r="T60" s="1"/>
      <c r="U60" s="24" t="s">
        <v>691</v>
      </c>
      <c r="V60" s="116" t="b">
        <f>OR(B60=$V$1,D60=$V$1,B60="2"&amp;$V$1)</f>
        <v>0</v>
      </c>
      <c r="W60" s="1" t="b">
        <f>OR(J60=$W$1,L60=$W$1,N60=$W$1,J60="2"&amp;$W$1,L60="2"&amp;$W$1,N60="2"&amp;$W$1)</f>
        <v>0</v>
      </c>
      <c r="X60" s="25" t="s">
        <v>1607</v>
      </c>
      <c r="Y60" s="25" t="str">
        <f>B60&amp;" + "&amp;D60&amp;IF(F60&lt;&gt;""," + "&amp;F60,"")&amp;"-&gt;"&amp;J60&amp;" + "&amp;L60&amp;IF(N60&lt;&gt;""," + "&amp;N60,"")</f>
        <v>O2- + N2(A3)-&gt;N2 + O2 + e</v>
      </c>
      <c r="Z60" s="29">
        <f>O60</f>
        <v>2.1000000000000002E-15</v>
      </c>
    </row>
    <row r="61" spans="1:26" ht="22.5" hidden="1" customHeight="1" x14ac:dyDescent="0.25">
      <c r="A61" s="1" t="s">
        <v>98</v>
      </c>
      <c r="B61" s="1" t="s">
        <v>1393</v>
      </c>
      <c r="C61" s="2" t="s">
        <v>0</v>
      </c>
      <c r="D61" s="1" t="s">
        <v>1339</v>
      </c>
      <c r="E61" s="2"/>
      <c r="F61" s="3"/>
      <c r="G61" s="4" t="s">
        <v>7</v>
      </c>
      <c r="H61" s="112" t="s">
        <v>1556</v>
      </c>
      <c r="I61" s="4" t="s">
        <v>7</v>
      </c>
      <c r="J61" s="124" t="s">
        <v>3</v>
      </c>
      <c r="K61" s="4" t="s">
        <v>0</v>
      </c>
      <c r="L61" s="22" t="s">
        <v>649</v>
      </c>
      <c r="M61" s="2" t="s">
        <v>0</v>
      </c>
      <c r="N61" s="125" t="s">
        <v>1</v>
      </c>
      <c r="O61" s="126">
        <f>2.5*10^-15</f>
        <v>2.5000000000000004E-15</v>
      </c>
      <c r="P61" s="146">
        <v>2.5000000000000004E-15</v>
      </c>
      <c r="Q61" s="118" t="s">
        <v>1080</v>
      </c>
      <c r="R61" s="1"/>
      <c r="S61" s="1" t="s">
        <v>1049</v>
      </c>
      <c r="T61" s="1"/>
      <c r="U61" s="24" t="s">
        <v>691</v>
      </c>
      <c r="V61" s="116" t="b">
        <f>OR(B61=$V$1,D61=$V$1,B61="2"&amp;$V$1)</f>
        <v>0</v>
      </c>
      <c r="W61" s="1" t="b">
        <f>OR(J61=$W$1,L61=$W$1,N61=$W$1,J61="2"&amp;$W$1,L61="2"&amp;$W$1,N61="2"&amp;$W$1)</f>
        <v>0</v>
      </c>
      <c r="X61" s="25" t="s">
        <v>1607</v>
      </c>
      <c r="Y61" s="25" t="str">
        <f>B61&amp;" + "&amp;D61&amp;IF(F61&lt;&gt;""," + "&amp;F61,"")&amp;"-&gt;"&amp;J61&amp;" + "&amp;L61&amp;IF(N61&lt;&gt;""," + "&amp;N61,"")</f>
        <v>O2- + N2(esum)-&gt;N2 + O2 + e</v>
      </c>
      <c r="Z61" s="29">
        <f>O61</f>
        <v>2.5000000000000004E-15</v>
      </c>
    </row>
    <row r="62" spans="1:26" ht="22.5" hidden="1" customHeight="1" x14ac:dyDescent="0.25">
      <c r="A62" s="1" t="s">
        <v>226</v>
      </c>
      <c r="B62" s="1" t="s">
        <v>1395</v>
      </c>
      <c r="C62" s="2" t="s">
        <v>0</v>
      </c>
      <c r="D62" s="22" t="s">
        <v>639</v>
      </c>
      <c r="E62" s="2"/>
      <c r="F62" s="22"/>
      <c r="G62" s="4" t="s">
        <v>7</v>
      </c>
      <c r="H62" s="112" t="s">
        <v>1557</v>
      </c>
      <c r="I62" s="4" t="s">
        <v>7</v>
      </c>
      <c r="J62" s="124" t="s">
        <v>1394</v>
      </c>
      <c r="K62" s="4" t="s">
        <v>0</v>
      </c>
      <c r="L62" s="1" t="s">
        <v>649</v>
      </c>
      <c r="M62" s="2"/>
      <c r="N62" s="125"/>
      <c r="O62" s="126">
        <f>4*10^-16</f>
        <v>3.9999999999999999E-16</v>
      </c>
      <c r="P62" s="146">
        <v>3.9999999999999999E-16</v>
      </c>
      <c r="Q62" s="118" t="s">
        <v>1096</v>
      </c>
      <c r="R62" s="1"/>
      <c r="S62" s="1" t="s">
        <v>1049</v>
      </c>
      <c r="T62" s="1"/>
      <c r="U62" s="24" t="s">
        <v>691</v>
      </c>
      <c r="V62" s="116" t="b">
        <f>OR(B62=$V$1,D62=$V$1,B62="2"&amp;$V$1)</f>
        <v>0</v>
      </c>
      <c r="W62" s="1" t="b">
        <f>OR(J62=$W$1,L62=$W$1,N62=$W$1,J62="2"&amp;$W$1,L62="2"&amp;$W$1,N62="2"&amp;$W$1)</f>
        <v>0</v>
      </c>
      <c r="X62" s="25" t="s">
        <v>1607</v>
      </c>
      <c r="Y62" s="25" t="str">
        <f>B62&amp;" + "&amp;D62&amp;IF(F62&lt;&gt;""," + "&amp;F62,"")&amp;"-&gt;"&amp;J62&amp;" + "&amp;L62&amp;IF(N62&lt;&gt;""," + "&amp;N62,"")</f>
        <v>O4- + O-&gt;O3- + O2</v>
      </c>
      <c r="Z62" s="29">
        <f>O62</f>
        <v>3.9999999999999999E-16</v>
      </c>
    </row>
    <row r="63" spans="1:26" ht="22.5" hidden="1" customHeight="1" x14ac:dyDescent="0.25">
      <c r="A63" s="1" t="s">
        <v>100</v>
      </c>
      <c r="B63" s="1" t="s">
        <v>1393</v>
      </c>
      <c r="C63" s="2" t="s">
        <v>0</v>
      </c>
      <c r="D63" s="22" t="s">
        <v>649</v>
      </c>
      <c r="E63" s="2"/>
      <c r="F63" s="3"/>
      <c r="G63" s="4" t="s">
        <v>7</v>
      </c>
      <c r="H63" s="112" t="s">
        <v>1556</v>
      </c>
      <c r="I63" s="4" t="s">
        <v>7</v>
      </c>
      <c r="J63" s="124" t="s">
        <v>1409</v>
      </c>
      <c r="K63" s="2" t="s">
        <v>0</v>
      </c>
      <c r="L63" s="22" t="s">
        <v>1</v>
      </c>
      <c r="M63" s="2"/>
      <c r="N63" s="125"/>
      <c r="O63" s="126">
        <f>2.7*10^-16*(Teff/300)^0.5*EXP(-5590/Teff)</f>
        <v>2.6381101219301632E-24</v>
      </c>
      <c r="P63" s="146">
        <v>2.6381101219301632E-24</v>
      </c>
      <c r="Q63" s="118" t="s">
        <v>1653</v>
      </c>
      <c r="R63" s="1"/>
      <c r="S63" s="1" t="s">
        <v>1049</v>
      </c>
      <c r="T63" s="1"/>
      <c r="U63" s="24" t="s">
        <v>691</v>
      </c>
      <c r="V63" s="116" t="b">
        <f>OR(B63=$V$1,D63=$V$1,B63="2"&amp;$V$1)</f>
        <v>0</v>
      </c>
      <c r="W63" s="1" t="b">
        <f>OR(J63=$W$1,L63=$W$1,N63=$W$1,J63="2"&amp;$W$1,L63="2"&amp;$W$1,N63="2"&amp;$W$1)</f>
        <v>0</v>
      </c>
      <c r="X63" s="25" t="s">
        <v>1607</v>
      </c>
      <c r="Y63" s="25" t="str">
        <f>B63&amp;" + "&amp;D63&amp;IF(F63&lt;&gt;""," + "&amp;F63,"")&amp;"-&gt;"&amp;J63&amp;" + "&amp;L63&amp;IF(N63&lt;&gt;""," + "&amp;N63,"")</f>
        <v>O2- + O2-&gt;2O2 + e</v>
      </c>
      <c r="Z63" s="29">
        <f>O63</f>
        <v>2.6381101219301632E-24</v>
      </c>
    </row>
    <row r="64" spans="1:26" ht="22.5" hidden="1" customHeight="1" x14ac:dyDescent="0.25">
      <c r="A64" s="1" t="s">
        <v>102</v>
      </c>
      <c r="B64" s="1" t="s">
        <v>1393</v>
      </c>
      <c r="C64" s="2" t="s">
        <v>0</v>
      </c>
      <c r="D64" s="1" t="s">
        <v>1489</v>
      </c>
      <c r="E64" s="2"/>
      <c r="F64" s="3"/>
      <c r="G64" s="4" t="s">
        <v>7</v>
      </c>
      <c r="H64" s="112" t="s">
        <v>1556</v>
      </c>
      <c r="I64" s="4" t="s">
        <v>7</v>
      </c>
      <c r="J64" s="124" t="s">
        <v>1409</v>
      </c>
      <c r="K64" s="2" t="s">
        <v>0</v>
      </c>
      <c r="L64" s="22" t="s">
        <v>1</v>
      </c>
      <c r="M64" s="2"/>
      <c r="N64" s="125"/>
      <c r="O64" s="126">
        <f>2*10^-16</f>
        <v>2E-16</v>
      </c>
      <c r="P64" s="146">
        <v>2E-16</v>
      </c>
      <c r="Q64" s="118" t="s">
        <v>1067</v>
      </c>
      <c r="R64" s="1"/>
      <c r="S64" s="1" t="s">
        <v>1049</v>
      </c>
      <c r="T64" s="1"/>
      <c r="U64" s="24" t="s">
        <v>691</v>
      </c>
      <c r="V64" s="116" t="b">
        <f>OR(B64=$V$1,D64=$V$1,B64="2"&amp;$V$1)</f>
        <v>0</v>
      </c>
      <c r="W64" s="1" t="b">
        <f>OR(J64=$W$1,L64=$W$1,N64=$W$1,J64="2"&amp;$W$1,L64="2"&amp;$W$1,N64="2"&amp;$W$1)</f>
        <v>0</v>
      </c>
      <c r="X64" s="25" t="s">
        <v>1607</v>
      </c>
      <c r="Y64" s="25" t="str">
        <f>B64&amp;" + "&amp;D64&amp;IF(F64&lt;&gt;""," + "&amp;F64,"")&amp;"-&gt;"&amp;J64&amp;" + "&amp;L64&amp;IF(N64&lt;&gt;""," + "&amp;N64,"")</f>
        <v>O2- + O2(a1)-&gt;2O2 + e</v>
      </c>
      <c r="Z64" s="29">
        <f>O64</f>
        <v>2E-16</v>
      </c>
    </row>
    <row r="65" spans="1:26" ht="22.5" hidden="1" customHeight="1" x14ac:dyDescent="0.25">
      <c r="A65" s="1" t="s">
        <v>103</v>
      </c>
      <c r="B65" s="1" t="s">
        <v>1393</v>
      </c>
      <c r="C65" s="2" t="s">
        <v>0</v>
      </c>
      <c r="D65" s="22" t="s">
        <v>653</v>
      </c>
      <c r="E65" s="2"/>
      <c r="F65" s="3"/>
      <c r="G65" s="4" t="s">
        <v>7</v>
      </c>
      <c r="H65" s="112" t="s">
        <v>1556</v>
      </c>
      <c r="I65" s="4" t="s">
        <v>7</v>
      </c>
      <c r="J65" s="122" t="s">
        <v>767</v>
      </c>
      <c r="K65" s="4" t="s">
        <v>0</v>
      </c>
      <c r="L65" s="22" t="s">
        <v>1</v>
      </c>
      <c r="M65" s="2"/>
      <c r="N65" s="125"/>
      <c r="O65" s="126">
        <f>1.4*10^-15</f>
        <v>1.4000000000000001E-15</v>
      </c>
      <c r="P65" s="146">
        <v>1.4000000000000001E-15</v>
      </c>
      <c r="Q65" s="118" t="s">
        <v>1082</v>
      </c>
      <c r="R65" s="1"/>
      <c r="S65" s="1" t="s">
        <v>1049</v>
      </c>
      <c r="T65" s="1"/>
      <c r="U65" s="24" t="s">
        <v>777</v>
      </c>
      <c r="V65" s="116" t="b">
        <f>OR(B65=$V$1,D65=$V$1,B65="2"&amp;$V$1)</f>
        <v>0</v>
      </c>
      <c r="W65" s="1" t="b">
        <f>OR(J65=$W$1,L65=$W$1,N65=$W$1,J65="2"&amp;$W$1,L65="2"&amp;$W$1,N65="2"&amp;$W$1)</f>
        <v>0</v>
      </c>
      <c r="Y65" s="25" t="str">
        <f>B65&amp;" + "&amp;D65&amp;IF(F65&lt;&gt;""," + "&amp;F65,"")&amp;"-&gt;"&amp;J65&amp;" + "&amp;L65&amp;IF(N65&lt;&gt;""," + "&amp;N65,"")</f>
        <v>O2- + H-&gt;HO2 + e</v>
      </c>
      <c r="Z65" s="29">
        <f>O65</f>
        <v>1.4000000000000001E-15</v>
      </c>
    </row>
    <row r="66" spans="1:26" ht="22.5" hidden="1" customHeight="1" x14ac:dyDescent="0.25">
      <c r="A66" s="1" t="s">
        <v>253</v>
      </c>
      <c r="B66" s="1" t="s">
        <v>685</v>
      </c>
      <c r="C66" s="2" t="s">
        <v>0</v>
      </c>
      <c r="D66" s="22" t="s">
        <v>639</v>
      </c>
      <c r="E66" s="2"/>
      <c r="F66" s="22"/>
      <c r="G66" s="4" t="s">
        <v>7</v>
      </c>
      <c r="H66" s="112" t="s">
        <v>1557</v>
      </c>
      <c r="I66" s="4" t="s">
        <v>7</v>
      </c>
      <c r="J66" s="119" t="s">
        <v>650</v>
      </c>
      <c r="K66" s="2" t="s">
        <v>0</v>
      </c>
      <c r="L66" s="22" t="s">
        <v>653</v>
      </c>
      <c r="M66" s="2"/>
      <c r="N66" s="125"/>
      <c r="O66" s="126">
        <f>3.8*10^-16</f>
        <v>3.7999999999999996E-16</v>
      </c>
      <c r="P66" s="146">
        <v>3.7999999999999996E-16</v>
      </c>
      <c r="Q66" s="118" t="s">
        <v>1144</v>
      </c>
      <c r="R66" s="1"/>
      <c r="S66" s="1" t="s">
        <v>1049</v>
      </c>
      <c r="T66" s="1"/>
      <c r="U66" s="24" t="s">
        <v>691</v>
      </c>
      <c r="V66" s="116" t="b">
        <f>OR(B66=$V$1,D66=$V$1,B66="2"&amp;$V$1)</f>
        <v>0</v>
      </c>
      <c r="W66" s="1" t="b">
        <f>OR(J66=$W$1,L66=$W$1,N66=$W$1,J66="2"&amp;$W$1,L66="2"&amp;$W$1,N66="2"&amp;$W$1)</f>
        <v>0</v>
      </c>
      <c r="X66" s="25" t="s">
        <v>1607</v>
      </c>
      <c r="Y66" s="25" t="str">
        <f>B66&amp;" + "&amp;D66&amp;IF(F66&lt;&gt;""," + "&amp;F66,"")&amp;"-&gt;"&amp;J66&amp;" + "&amp;L66&amp;IF(N66&lt;&gt;""," + "&amp;N66,"")</f>
        <v>H+ + O-&gt;O+ + H</v>
      </c>
      <c r="Z66" s="29">
        <f>O66</f>
        <v>3.7999999999999996E-16</v>
      </c>
    </row>
    <row r="67" spans="1:26" ht="22.5" hidden="1" customHeight="1" x14ac:dyDescent="0.25">
      <c r="A67" s="1" t="s">
        <v>105</v>
      </c>
      <c r="B67" s="1" t="s">
        <v>1394</v>
      </c>
      <c r="C67" s="2" t="s">
        <v>0</v>
      </c>
      <c r="D67" s="22" t="s">
        <v>649</v>
      </c>
      <c r="E67" s="2"/>
      <c r="F67" s="3"/>
      <c r="G67" s="4" t="s">
        <v>7</v>
      </c>
      <c r="H67" s="112" t="s">
        <v>1556</v>
      </c>
      <c r="I67" s="4" t="s">
        <v>7</v>
      </c>
      <c r="J67" s="124" t="s">
        <v>638</v>
      </c>
      <c r="K67" s="4" t="s">
        <v>0</v>
      </c>
      <c r="L67" s="22" t="s">
        <v>649</v>
      </c>
      <c r="M67" s="2" t="s">
        <v>0</v>
      </c>
      <c r="N67" s="125" t="s">
        <v>1</v>
      </c>
      <c r="O67" s="126">
        <f>2.3*10^-17</f>
        <v>2.3000000000000001E-17</v>
      </c>
      <c r="P67" s="146">
        <v>2.3000000000000001E-17</v>
      </c>
      <c r="Q67" s="118" t="s">
        <v>1083</v>
      </c>
      <c r="R67" s="1"/>
      <c r="S67" s="1" t="s">
        <v>1049</v>
      </c>
      <c r="T67" s="1"/>
      <c r="U67" s="24" t="s">
        <v>755</v>
      </c>
      <c r="V67" s="116" t="b">
        <f>OR(B67=$V$1,D67=$V$1,B67="2"&amp;$V$1)</f>
        <v>0</v>
      </c>
      <c r="W67" s="1" t="b">
        <f>OR(J67=$W$1,L67=$W$1,N67=$W$1,J67="2"&amp;$W$1,L67="2"&amp;$W$1,N67="2"&amp;$W$1)</f>
        <v>0</v>
      </c>
      <c r="Y67" s="25" t="str">
        <f>B67&amp;" + "&amp;D67&amp;IF(F67&lt;&gt;""," + "&amp;F67,"")&amp;"-&gt;"&amp;J67&amp;" + "&amp;L67&amp;IF(N67&lt;&gt;""," + "&amp;N67,"")</f>
        <v>O3- + O2-&gt;O3 + O2 + e</v>
      </c>
      <c r="Z67" s="29">
        <f>O67</f>
        <v>2.3000000000000001E-17</v>
      </c>
    </row>
    <row r="68" spans="1:26" ht="22.5" hidden="1" customHeight="1" x14ac:dyDescent="0.25">
      <c r="A68" s="1"/>
      <c r="B68" s="1" t="s">
        <v>1330</v>
      </c>
      <c r="C68" s="2" t="s">
        <v>0</v>
      </c>
      <c r="D68" s="22" t="s">
        <v>3</v>
      </c>
      <c r="E68" s="2"/>
      <c r="F68" s="3"/>
      <c r="G68" s="4" t="s">
        <v>7</v>
      </c>
      <c r="H68" s="112" t="s">
        <v>1556</v>
      </c>
      <c r="I68" s="4" t="s">
        <v>7</v>
      </c>
      <c r="J68" s="122" t="s">
        <v>1551</v>
      </c>
      <c r="K68" s="4" t="s">
        <v>0</v>
      </c>
      <c r="L68" s="22" t="s">
        <v>637</v>
      </c>
      <c r="M68" s="2" t="s">
        <v>0</v>
      </c>
      <c r="N68" s="125" t="s">
        <v>1</v>
      </c>
      <c r="O68" s="126">
        <f>1*10^-21</f>
        <v>9.9999999999999991E-22</v>
      </c>
      <c r="P68" s="146">
        <v>9.9999999999999991E-22</v>
      </c>
      <c r="Q68" s="118"/>
      <c r="R68" s="1"/>
      <c r="S68" s="1"/>
      <c r="T68" s="1"/>
      <c r="U68" s="24" t="s">
        <v>691</v>
      </c>
      <c r="V68" s="116" t="b">
        <f>OR(B68=$V$1,D68=$V$1,B68="2"&amp;$V$1)</f>
        <v>0</v>
      </c>
      <c r="W68" s="1" t="b">
        <f>OR(J68=$W$1,L68=$W$1,N68=$W$1,J68="2"&amp;$W$1,L68="2"&amp;$W$1,N68="2"&amp;$W$1)</f>
        <v>0</v>
      </c>
      <c r="X68" s="25" t="s">
        <v>1607</v>
      </c>
      <c r="Y68" s="25" t="str">
        <f>B68&amp;" + "&amp;D68&amp;IF(F68&lt;&gt;""," + "&amp;F68,"")&amp;"-&gt;"&amp;J68&amp;" + "&amp;L68&amp;IF(N68&lt;&gt;""," + "&amp;N68,"")</f>
        <v>O3- + N2-&gt;N2O + O2 + e</v>
      </c>
      <c r="Z68" s="29">
        <f>O68</f>
        <v>9.9999999999999991E-22</v>
      </c>
    </row>
    <row r="69" spans="1:26" ht="22.5" hidden="1" customHeight="1" x14ac:dyDescent="0.25">
      <c r="A69" s="1"/>
      <c r="B69" s="1" t="s">
        <v>1330</v>
      </c>
      <c r="C69" s="2" t="s">
        <v>0</v>
      </c>
      <c r="D69" s="22" t="s">
        <v>3</v>
      </c>
      <c r="E69" s="2" t="s">
        <v>0</v>
      </c>
      <c r="F69" s="22" t="s">
        <v>3</v>
      </c>
      <c r="G69" s="4" t="s">
        <v>7</v>
      </c>
      <c r="H69" s="112" t="s">
        <v>1629</v>
      </c>
      <c r="I69" s="4" t="s">
        <v>7</v>
      </c>
      <c r="J69" s="122" t="s">
        <v>1551</v>
      </c>
      <c r="K69" s="4" t="s">
        <v>0</v>
      </c>
      <c r="L69" s="22" t="s">
        <v>1552</v>
      </c>
      <c r="M69" s="2" t="s">
        <v>0</v>
      </c>
      <c r="N69" s="125" t="s">
        <v>1</v>
      </c>
      <c r="O69" s="126">
        <f>1.5*10^-45</f>
        <v>1.5000000000000004E-45</v>
      </c>
      <c r="P69" s="146">
        <v>1.5000000000000004E-45</v>
      </c>
      <c r="Q69" s="118"/>
      <c r="R69" s="1"/>
      <c r="S69" s="1"/>
      <c r="T69" s="1"/>
      <c r="U69" s="24"/>
      <c r="V69" s="116" t="b">
        <f>OR(B69=$V$1,D69=$V$1,B69="2"&amp;$V$1)</f>
        <v>0</v>
      </c>
      <c r="W69" s="1" t="b">
        <f>OR(J69=$W$1,L69=$W$1,N69=$W$1,J69="2"&amp;$W$1,L69="2"&amp;$W$1,N69="2"&amp;$W$1)</f>
        <v>0</v>
      </c>
      <c r="Y69" s="25" t="str">
        <f>B69&amp;" + "&amp;D69&amp;IF(F69&lt;&gt;""," + "&amp;F69,"")&amp;"-&gt;"&amp;J69&amp;" + "&amp;L69&amp;IF(N69&lt;&gt;""," + "&amp;N69,"")</f>
        <v>O3- + N2 + N2-&gt;N2O + 2M + e</v>
      </c>
      <c r="Z69" s="29">
        <f>O69</f>
        <v>1.5000000000000004E-45</v>
      </c>
    </row>
    <row r="70" spans="1:26" ht="22.5" hidden="1" customHeight="1" x14ac:dyDescent="0.25">
      <c r="A70" s="1" t="s">
        <v>106</v>
      </c>
      <c r="B70" s="1" t="s">
        <v>1394</v>
      </c>
      <c r="C70" s="2" t="s">
        <v>0</v>
      </c>
      <c r="D70" s="22" t="s">
        <v>723</v>
      </c>
      <c r="E70" s="2"/>
      <c r="F70" s="3"/>
      <c r="G70" s="4" t="s">
        <v>7</v>
      </c>
      <c r="H70" s="112" t="s">
        <v>1556</v>
      </c>
      <c r="I70" s="4" t="s">
        <v>7</v>
      </c>
      <c r="J70" s="122" t="s">
        <v>1420</v>
      </c>
      <c r="K70" s="2" t="s">
        <v>0</v>
      </c>
      <c r="L70" s="22" t="s">
        <v>1</v>
      </c>
      <c r="M70" s="2"/>
      <c r="N70" s="125"/>
      <c r="O70" s="126">
        <f>3*10^-16</f>
        <v>2.9999999999999999E-16</v>
      </c>
      <c r="P70" s="146">
        <v>2.9999999999999999E-16</v>
      </c>
      <c r="Q70" s="118" t="s">
        <v>1076</v>
      </c>
      <c r="R70" s="1"/>
      <c r="S70" s="1" t="s">
        <v>1049</v>
      </c>
      <c r="T70" s="1"/>
      <c r="U70" s="24" t="s">
        <v>755</v>
      </c>
      <c r="V70" s="116" t="b">
        <f>OR(B70=$V$1,D70=$V$1,B70="2"&amp;$V$1)</f>
        <v>0</v>
      </c>
      <c r="W70" s="1" t="b">
        <f>OR(J70=$W$1,L70=$W$1,N70=$W$1,J70="2"&amp;$W$1,L70="2"&amp;$W$1,N70="2"&amp;$W$1)</f>
        <v>0</v>
      </c>
      <c r="Y70" s="25" t="str">
        <f>B70&amp;" + "&amp;D70&amp;IF(F70&lt;&gt;""," + "&amp;F70,"")&amp;"-&gt;"&amp;J70&amp;" + "&amp;L70&amp;IF(N70&lt;&gt;""," + "&amp;N70,"")</f>
        <v>O3- + O3-&gt;3O2 + e</v>
      </c>
      <c r="Z70" s="29">
        <f>O70</f>
        <v>2.9999999999999999E-16</v>
      </c>
    </row>
    <row r="71" spans="1:26" ht="22.5" hidden="1" customHeight="1" x14ac:dyDescent="0.25">
      <c r="A71" s="1" t="s">
        <v>107</v>
      </c>
      <c r="B71" s="1" t="s">
        <v>1320</v>
      </c>
      <c r="C71" s="2" t="s">
        <v>0</v>
      </c>
      <c r="D71" s="22" t="s">
        <v>687</v>
      </c>
      <c r="E71" s="2"/>
      <c r="F71" s="3"/>
      <c r="G71" s="4" t="s">
        <v>7</v>
      </c>
      <c r="H71" s="112" t="s">
        <v>1556</v>
      </c>
      <c r="I71" s="4" t="s">
        <v>7</v>
      </c>
      <c r="J71" s="124" t="s">
        <v>688</v>
      </c>
      <c r="K71" s="4" t="s">
        <v>0</v>
      </c>
      <c r="L71" s="22" t="s">
        <v>687</v>
      </c>
      <c r="M71" s="2" t="s">
        <v>0</v>
      </c>
      <c r="N71" s="125" t="s">
        <v>1</v>
      </c>
      <c r="O71" s="126">
        <f>2.4*10^-19</f>
        <v>2.3999999999999997E-19</v>
      </c>
      <c r="P71" s="146">
        <v>2.3999999999999997E-19</v>
      </c>
      <c r="Q71" s="118" t="s">
        <v>1084</v>
      </c>
      <c r="R71" s="1"/>
      <c r="S71" s="1" t="s">
        <v>1049</v>
      </c>
      <c r="T71" s="1"/>
      <c r="U71" s="24" t="s">
        <v>780</v>
      </c>
      <c r="V71" s="116" t="b">
        <f>OR(B71=$V$1,D71=$V$1,B71="2"&amp;$V$1)</f>
        <v>0</v>
      </c>
      <c r="W71" s="1" t="b">
        <f>OR(J71=$W$1,L71=$W$1,N71=$W$1,J71="2"&amp;$W$1,L71="2"&amp;$W$1,N71="2"&amp;$W$1)</f>
        <v>0</v>
      </c>
      <c r="Y71" s="25" t="str">
        <f>B71&amp;" + "&amp;D71&amp;IF(F71&lt;&gt;""," + "&amp;F71,"")&amp;"-&gt;"&amp;J71&amp;" + "&amp;L71&amp;IF(N71&lt;&gt;""," + "&amp;N71,"")</f>
        <v>NO- + M-&gt;NO + M + e</v>
      </c>
      <c r="Z71" s="29">
        <f>O71</f>
        <v>2.3999999999999997E-19</v>
      </c>
    </row>
    <row r="72" spans="1:26" ht="22.5" hidden="1" customHeight="1" x14ac:dyDescent="0.25">
      <c r="A72" s="1" t="s">
        <v>108</v>
      </c>
      <c r="B72" s="1" t="s">
        <v>1320</v>
      </c>
      <c r="C72" s="2" t="s">
        <v>0</v>
      </c>
      <c r="D72" s="22" t="s">
        <v>688</v>
      </c>
      <c r="E72" s="2"/>
      <c r="F72" s="3"/>
      <c r="G72" s="4" t="s">
        <v>7</v>
      </c>
      <c r="H72" s="112" t="s">
        <v>1556</v>
      </c>
      <c r="I72" s="4" t="s">
        <v>7</v>
      </c>
      <c r="J72" s="124" t="s">
        <v>1418</v>
      </c>
      <c r="K72" s="4" t="s">
        <v>0</v>
      </c>
      <c r="L72" s="22" t="s">
        <v>1</v>
      </c>
      <c r="M72" s="2"/>
      <c r="N72" s="125"/>
      <c r="O72" s="126">
        <f>5*10^-18</f>
        <v>5.0000000000000004E-18</v>
      </c>
      <c r="P72" s="146">
        <v>5.0000000000000004E-18</v>
      </c>
      <c r="Q72" s="118" t="s">
        <v>1085</v>
      </c>
      <c r="R72" s="1"/>
      <c r="S72" s="1" t="s">
        <v>1049</v>
      </c>
      <c r="T72" s="1"/>
      <c r="U72" s="24" t="s">
        <v>780</v>
      </c>
      <c r="V72" s="116" t="b">
        <f>OR(B72=$V$1,D72=$V$1,B72="2"&amp;$V$1)</f>
        <v>0</v>
      </c>
      <c r="W72" s="1" t="b">
        <f>OR(J72=$W$1,L72=$W$1,N72=$W$1,J72="2"&amp;$W$1,L72="2"&amp;$W$1,N72="2"&amp;$W$1)</f>
        <v>0</v>
      </c>
      <c r="Y72" s="25" t="str">
        <f>B72&amp;" + "&amp;D72&amp;IF(F72&lt;&gt;""," + "&amp;F72,"")&amp;"-&gt;"&amp;J72&amp;" + "&amp;L72&amp;IF(N72&lt;&gt;""," + "&amp;N72,"")</f>
        <v>NO- + NO-&gt;2NO + e</v>
      </c>
      <c r="Z72" s="29">
        <f>O72</f>
        <v>5.0000000000000004E-18</v>
      </c>
    </row>
    <row r="73" spans="1:26" ht="22.5" hidden="1" customHeight="1" x14ac:dyDescent="0.25">
      <c r="A73" s="1" t="s">
        <v>109</v>
      </c>
      <c r="B73" s="1" t="s">
        <v>1320</v>
      </c>
      <c r="C73" s="2" t="s">
        <v>0</v>
      </c>
      <c r="D73" s="22" t="s">
        <v>738</v>
      </c>
      <c r="E73" s="2"/>
      <c r="F73" s="3"/>
      <c r="G73" s="4" t="s">
        <v>7</v>
      </c>
      <c r="H73" s="112" t="s">
        <v>1556</v>
      </c>
      <c r="I73" s="4" t="s">
        <v>7</v>
      </c>
      <c r="J73" s="124" t="s">
        <v>688</v>
      </c>
      <c r="K73" s="4" t="s">
        <v>0</v>
      </c>
      <c r="L73" s="22" t="s">
        <v>738</v>
      </c>
      <c r="M73" s="2" t="s">
        <v>0</v>
      </c>
      <c r="N73" s="125" t="s">
        <v>1</v>
      </c>
      <c r="O73" s="126">
        <f>5.1*10^-18</f>
        <v>5.0999999999999998E-18</v>
      </c>
      <c r="P73" s="146">
        <v>5.0999999999999998E-18</v>
      </c>
      <c r="Q73" s="118" t="s">
        <v>1086</v>
      </c>
      <c r="R73" s="1"/>
      <c r="S73" s="1" t="s">
        <v>1049</v>
      </c>
      <c r="T73" s="1"/>
      <c r="U73" s="24" t="s">
        <v>780</v>
      </c>
      <c r="V73" s="116" t="b">
        <f>OR(B73=$V$1,D73=$V$1,B73="2"&amp;$V$1)</f>
        <v>0</v>
      </c>
      <c r="W73" s="1" t="b">
        <f>OR(J73=$W$1,L73=$W$1,N73=$W$1,J73="2"&amp;$W$1,L73="2"&amp;$W$1,N73="2"&amp;$W$1)</f>
        <v>0</v>
      </c>
      <c r="Y73" s="25" t="str">
        <f>B73&amp;" + "&amp;D73&amp;IF(F73&lt;&gt;""," + "&amp;F73,"")&amp;"-&gt;"&amp;J73&amp;" + "&amp;L73&amp;IF(N73&lt;&gt;""," + "&amp;N73,"")</f>
        <v>NO- + N2O-&gt;NO + N2O + e</v>
      </c>
      <c r="Z73" s="29">
        <f>O73</f>
        <v>5.0999999999999998E-18</v>
      </c>
    </row>
    <row r="74" spans="1:26" ht="22.5" hidden="1" customHeight="1" x14ac:dyDescent="0.25">
      <c r="A74" s="1" t="s">
        <v>110</v>
      </c>
      <c r="B74" s="1" t="s">
        <v>1320</v>
      </c>
      <c r="C74" s="2" t="s">
        <v>0</v>
      </c>
      <c r="D74" s="22" t="s">
        <v>699</v>
      </c>
      <c r="E74" s="2"/>
      <c r="F74" s="3"/>
      <c r="G74" s="4" t="s">
        <v>7</v>
      </c>
      <c r="H74" s="112" t="s">
        <v>1556</v>
      </c>
      <c r="I74" s="4" t="s">
        <v>7</v>
      </c>
      <c r="J74" s="124" t="s">
        <v>688</v>
      </c>
      <c r="K74" s="4" t="s">
        <v>0</v>
      </c>
      <c r="L74" s="22" t="s">
        <v>699</v>
      </c>
      <c r="M74" s="2" t="s">
        <v>0</v>
      </c>
      <c r="N74" s="125" t="s">
        <v>1</v>
      </c>
      <c r="O74" s="126">
        <f>2.3*10^-19</f>
        <v>2.2999999999999998E-19</v>
      </c>
      <c r="P74" s="146">
        <v>2.2999999999999998E-19</v>
      </c>
      <c r="Q74" s="118" t="s">
        <v>1087</v>
      </c>
      <c r="R74" s="1"/>
      <c r="S74" s="1" t="s">
        <v>1049</v>
      </c>
      <c r="T74" s="1"/>
      <c r="U74" s="24" t="s">
        <v>780</v>
      </c>
      <c r="V74" s="116" t="b">
        <f>OR(B74=$V$1,D74=$V$1,B74="2"&amp;$V$1)</f>
        <v>0</v>
      </c>
      <c r="W74" s="1" t="b">
        <f>OR(J74=$W$1,L74=$W$1,N74=$W$1,J74="2"&amp;$W$1,L74="2"&amp;$W$1,N74="2"&amp;$W$1)</f>
        <v>0</v>
      </c>
      <c r="Y74" s="25" t="str">
        <f>B74&amp;" + "&amp;D74&amp;IF(F74&lt;&gt;""," + "&amp;F74,"")&amp;"-&gt;"&amp;J74&amp;" + "&amp;L74&amp;IF(N74&lt;&gt;""," + "&amp;N74,"")</f>
        <v>NO- + H2-&gt;NO + H2 + e</v>
      </c>
      <c r="Z74" s="29">
        <f>O74</f>
        <v>2.2999999999999998E-19</v>
      </c>
    </row>
    <row r="75" spans="1:26" ht="22.5" hidden="1" customHeight="1" x14ac:dyDescent="0.25">
      <c r="A75" s="1" t="s">
        <v>210</v>
      </c>
      <c r="B75" s="1" t="s">
        <v>1393</v>
      </c>
      <c r="C75" s="2" t="s">
        <v>0</v>
      </c>
      <c r="D75" s="22" t="s">
        <v>639</v>
      </c>
      <c r="E75" s="2"/>
      <c r="F75" s="22"/>
      <c r="G75" s="4" t="s">
        <v>7</v>
      </c>
      <c r="H75" s="112" t="s">
        <v>1557</v>
      </c>
      <c r="I75" s="4" t="s">
        <v>7</v>
      </c>
      <c r="J75" s="124" t="s">
        <v>1333</v>
      </c>
      <c r="K75" s="4" t="s">
        <v>0</v>
      </c>
      <c r="L75" s="1" t="s">
        <v>649</v>
      </c>
      <c r="M75" s="2"/>
      <c r="N75" s="125"/>
      <c r="O75" s="126">
        <f>3.3*10^-16</f>
        <v>3.2999999999999999E-16</v>
      </c>
      <c r="P75" s="146">
        <v>3.2999999999999999E-16</v>
      </c>
      <c r="Q75" s="118" t="s">
        <v>1116</v>
      </c>
      <c r="R75" s="1"/>
      <c r="S75" s="1" t="s">
        <v>1049</v>
      </c>
      <c r="T75" s="1"/>
      <c r="U75" s="24" t="s">
        <v>691</v>
      </c>
      <c r="V75" s="116" t="b">
        <f>OR(B75=$V$1,D75=$V$1,B75="2"&amp;$V$1)</f>
        <v>0</v>
      </c>
      <c r="W75" s="1" t="b">
        <f>OR(J75=$W$1,L75=$W$1,N75=$W$1,J75="2"&amp;$W$1,L75="2"&amp;$W$1,N75="2"&amp;$W$1)</f>
        <v>0</v>
      </c>
      <c r="X75" s="25" t="s">
        <v>1607</v>
      </c>
      <c r="Y75" s="25" t="str">
        <f>B75&amp;" + "&amp;D75&amp;IF(F75&lt;&gt;""," + "&amp;F75,"")&amp;"-&gt;"&amp;J75&amp;" + "&amp;L75&amp;IF(N75&lt;&gt;""," + "&amp;N75,"")</f>
        <v>O2- + O-&gt;O- + O2</v>
      </c>
      <c r="Z75" s="29">
        <f>O75</f>
        <v>3.2999999999999999E-16</v>
      </c>
    </row>
    <row r="76" spans="1:26" ht="22.5" hidden="1" customHeight="1" x14ac:dyDescent="0.25">
      <c r="A76" s="1" t="s">
        <v>112</v>
      </c>
      <c r="B76" s="1" t="s">
        <v>1392</v>
      </c>
      <c r="C76" s="2" t="s">
        <v>0</v>
      </c>
      <c r="D76" s="22" t="s">
        <v>636</v>
      </c>
      <c r="E76" s="2"/>
      <c r="F76" s="3"/>
      <c r="G76" s="4" t="s">
        <v>7</v>
      </c>
      <c r="H76" s="112" t="s">
        <v>1556</v>
      </c>
      <c r="I76" s="4" t="s">
        <v>7</v>
      </c>
      <c r="J76" s="124" t="s">
        <v>3</v>
      </c>
      <c r="K76" s="2" t="s">
        <v>0</v>
      </c>
      <c r="L76" s="22" t="s">
        <v>649</v>
      </c>
      <c r="M76" s="2" t="s">
        <v>0</v>
      </c>
      <c r="N76" s="125" t="s">
        <v>1</v>
      </c>
      <c r="O76" s="126">
        <f>1*10^-18</f>
        <v>1.0000000000000001E-18</v>
      </c>
      <c r="P76" s="146">
        <v>1.0000000000000001E-18</v>
      </c>
      <c r="Q76" s="118" t="s">
        <v>1072</v>
      </c>
      <c r="R76" s="1"/>
      <c r="S76" s="1" t="s">
        <v>1049</v>
      </c>
      <c r="T76" s="1"/>
      <c r="U76" s="24" t="s">
        <v>755</v>
      </c>
      <c r="V76" s="116" t="b">
        <f>OR(B76=$V$1,D76=$V$1,B76="2"&amp;$V$1)</f>
        <v>0</v>
      </c>
      <c r="W76" s="1" t="b">
        <f>OR(J76=$W$1,L76=$W$1,N76=$W$1,J76="2"&amp;$W$1,L76="2"&amp;$W$1,N76="2"&amp;$W$1)</f>
        <v>0</v>
      </c>
      <c r="Y76" s="25" t="str">
        <f>B76&amp;" + "&amp;D76&amp;IF(F76&lt;&gt;""," + "&amp;F76,"")&amp;"-&gt;"&amp;J76&amp;" + "&amp;L76&amp;IF(N76&lt;&gt;""," + "&amp;N76,"")</f>
        <v>NO2- + N-&gt;N2 + O2 + e</v>
      </c>
      <c r="Z76" s="29">
        <f>O76</f>
        <v>1.0000000000000001E-18</v>
      </c>
    </row>
    <row r="77" spans="1:26" ht="22.5" hidden="1" customHeight="1" x14ac:dyDescent="0.25">
      <c r="A77" s="1" t="s">
        <v>104</v>
      </c>
      <c r="B77" s="1" t="s">
        <v>1394</v>
      </c>
      <c r="C77" s="2" t="s">
        <v>0</v>
      </c>
      <c r="D77" s="22" t="s">
        <v>639</v>
      </c>
      <c r="E77" s="2"/>
      <c r="F77" s="3"/>
      <c r="G77" s="4" t="s">
        <v>7</v>
      </c>
      <c r="H77" s="112" t="s">
        <v>1556</v>
      </c>
      <c r="I77" s="4" t="s">
        <v>7</v>
      </c>
      <c r="J77" s="124" t="s">
        <v>1409</v>
      </c>
      <c r="K77" s="4" t="s">
        <v>0</v>
      </c>
      <c r="L77" s="22" t="s">
        <v>1</v>
      </c>
      <c r="M77" s="2"/>
      <c r="N77" s="125"/>
      <c r="O77" s="126">
        <f>3*10^-16</f>
        <v>2.9999999999999999E-16</v>
      </c>
      <c r="P77" s="146">
        <v>2.9999999999999999E-16</v>
      </c>
      <c r="Q77" s="118" t="s">
        <v>1076</v>
      </c>
      <c r="R77" s="1"/>
      <c r="S77" s="1" t="s">
        <v>1049</v>
      </c>
      <c r="T77" s="1"/>
      <c r="U77" s="24" t="s">
        <v>691</v>
      </c>
      <c r="V77" s="116" t="b">
        <f>OR(B77=$V$1,D77=$V$1,B77="2"&amp;$V$1)</f>
        <v>0</v>
      </c>
      <c r="W77" s="1" t="b">
        <f>OR(J77=$W$1,L77=$W$1,N77=$W$1,J77="2"&amp;$W$1,L77="2"&amp;$W$1,N77="2"&amp;$W$1)</f>
        <v>0</v>
      </c>
      <c r="X77" s="25" t="s">
        <v>1607</v>
      </c>
      <c r="Y77" s="25" t="str">
        <f>B77&amp;" + "&amp;D77&amp;IF(F77&lt;&gt;""," + "&amp;F77,"")&amp;"-&gt;"&amp;J77&amp;" + "&amp;L77&amp;IF(N77&lt;&gt;""," + "&amp;N77,"")</f>
        <v>O3- + O-&gt;2O2 + e</v>
      </c>
      <c r="Z77" s="29">
        <f>O77</f>
        <v>2.9999999999999999E-16</v>
      </c>
    </row>
    <row r="78" spans="1:26" ht="22.5" hidden="1" customHeight="1" x14ac:dyDescent="0.25">
      <c r="A78" s="1" t="s">
        <v>114</v>
      </c>
      <c r="B78" s="1" t="s">
        <v>1391</v>
      </c>
      <c r="C78" s="2" t="s">
        <v>0</v>
      </c>
      <c r="D78" s="22" t="s">
        <v>636</v>
      </c>
      <c r="E78" s="2"/>
      <c r="F78" s="3"/>
      <c r="G78" s="4" t="s">
        <v>7</v>
      </c>
      <c r="H78" s="112" t="s">
        <v>1556</v>
      </c>
      <c r="I78" s="4" t="s">
        <v>7</v>
      </c>
      <c r="J78" s="124" t="s">
        <v>3</v>
      </c>
      <c r="K78" s="2" t="s">
        <v>0</v>
      </c>
      <c r="L78" s="22" t="s">
        <v>723</v>
      </c>
      <c r="M78" s="2" t="s">
        <v>0</v>
      </c>
      <c r="N78" s="125" t="s">
        <v>1</v>
      </c>
      <c r="O78" s="126">
        <f>1*10^-18</f>
        <v>1.0000000000000001E-18</v>
      </c>
      <c r="P78" s="146">
        <v>1.0000000000000001E-18</v>
      </c>
      <c r="Q78" s="118" t="s">
        <v>1072</v>
      </c>
      <c r="R78" s="1"/>
      <c r="S78" s="1" t="s">
        <v>1049</v>
      </c>
      <c r="T78" s="1"/>
      <c r="U78" s="24" t="s">
        <v>755</v>
      </c>
      <c r="V78" s="116" t="b">
        <f>OR(B78=$V$1,D78=$V$1,B78="2"&amp;$V$1)</f>
        <v>0</v>
      </c>
      <c r="W78" s="1" t="b">
        <f>OR(J78=$W$1,L78=$W$1,N78=$W$1,J78="2"&amp;$W$1,L78="2"&amp;$W$1,N78="2"&amp;$W$1)</f>
        <v>0</v>
      </c>
      <c r="Y78" s="25" t="str">
        <f>B78&amp;" + "&amp;D78&amp;IF(F78&lt;&gt;""," + "&amp;F78,"")&amp;"-&gt;"&amp;J78&amp;" + "&amp;L78&amp;IF(N78&lt;&gt;""," + "&amp;N78,"")</f>
        <v>NO3- + N-&gt;N2 + O3 + e</v>
      </c>
      <c r="Z78" s="29">
        <f>O78</f>
        <v>1.0000000000000001E-18</v>
      </c>
    </row>
    <row r="79" spans="1:26" ht="22.5" hidden="1" customHeight="1" x14ac:dyDescent="0.25">
      <c r="A79" s="1" t="s">
        <v>115</v>
      </c>
      <c r="B79" s="1" t="s">
        <v>1323</v>
      </c>
      <c r="C79" s="2" t="s">
        <v>0</v>
      </c>
      <c r="D79" s="22" t="s">
        <v>649</v>
      </c>
      <c r="E79" s="2"/>
      <c r="F79" s="3"/>
      <c r="G79" s="4" t="s">
        <v>7</v>
      </c>
      <c r="H79" s="112" t="s">
        <v>1556</v>
      </c>
      <c r="I79" s="4" t="s">
        <v>7</v>
      </c>
      <c r="J79" s="124" t="s">
        <v>1262</v>
      </c>
      <c r="K79" s="2" t="s">
        <v>0</v>
      </c>
      <c r="L79" s="22" t="s">
        <v>1</v>
      </c>
      <c r="M79" s="22"/>
      <c r="N79" s="125"/>
      <c r="O79" s="126">
        <f>1.2*10^-15</f>
        <v>1.2E-15</v>
      </c>
      <c r="P79" s="146">
        <v>1.2E-15</v>
      </c>
      <c r="Q79" s="118" t="s">
        <v>1088</v>
      </c>
      <c r="R79" s="1"/>
      <c r="S79" s="1" t="s">
        <v>1049</v>
      </c>
      <c r="T79" s="1"/>
      <c r="U79" s="24" t="s">
        <v>777</v>
      </c>
      <c r="V79" s="116" t="b">
        <f>OR(B79=$V$1,D79=$V$1,B79="2"&amp;$V$1)</f>
        <v>0</v>
      </c>
      <c r="W79" s="1" t="b">
        <f>OR(J79=$W$1,L79=$W$1,N79=$W$1,J79="2"&amp;$W$1,L79="2"&amp;$W$1,N79="2"&amp;$W$1)</f>
        <v>0</v>
      </c>
      <c r="X79" s="25" t="s">
        <v>1607</v>
      </c>
      <c r="Y79" s="25" t="str">
        <f>B79&amp;" + "&amp;D79&amp;IF(F79&lt;&gt;""," + "&amp;F79,"")&amp;"-&gt;"&amp;J79&amp;" + "&amp;L79&amp;IF(N79&lt;&gt;""," + "&amp;N79,"")</f>
        <v>H- + O2-&gt;HO2 + e</v>
      </c>
      <c r="Z79" s="29">
        <f>O79</f>
        <v>1.2E-15</v>
      </c>
    </row>
    <row r="80" spans="1:26" ht="22.5" hidden="1" customHeight="1" x14ac:dyDescent="0.25">
      <c r="A80" s="1" t="s">
        <v>116</v>
      </c>
      <c r="B80" s="1" t="s">
        <v>1323</v>
      </c>
      <c r="C80" s="2" t="s">
        <v>0</v>
      </c>
      <c r="D80" s="22" t="s">
        <v>653</v>
      </c>
      <c r="E80" s="2"/>
      <c r="F80" s="3"/>
      <c r="G80" s="4" t="s">
        <v>7</v>
      </c>
      <c r="H80" s="112" t="s">
        <v>1556</v>
      </c>
      <c r="I80" s="4" t="s">
        <v>7</v>
      </c>
      <c r="J80" s="124" t="s">
        <v>640</v>
      </c>
      <c r="K80" s="2" t="s">
        <v>0</v>
      </c>
      <c r="L80" s="22" t="s">
        <v>1</v>
      </c>
      <c r="M80" s="22"/>
      <c r="N80" s="125"/>
      <c r="O80" s="126">
        <f>1.8*10^-15</f>
        <v>1.8000000000000001E-15</v>
      </c>
      <c r="P80" s="146">
        <v>1.8000000000000001E-15</v>
      </c>
      <c r="Q80" s="118" t="s">
        <v>1089</v>
      </c>
      <c r="R80" s="1"/>
      <c r="S80" s="1" t="s">
        <v>1049</v>
      </c>
      <c r="T80" s="1"/>
      <c r="U80" s="24" t="s">
        <v>691</v>
      </c>
      <c r="V80" s="116" t="b">
        <f>OR(B80=$V$1,D80=$V$1,B80="2"&amp;$V$1)</f>
        <v>0</v>
      </c>
      <c r="W80" s="1" t="b">
        <f>OR(J80=$W$1,L80=$W$1,N80=$W$1,J80="2"&amp;$W$1,L80="2"&amp;$W$1,N80="2"&amp;$W$1)</f>
        <v>0</v>
      </c>
      <c r="X80" s="25" t="s">
        <v>1607</v>
      </c>
      <c r="Y80" s="25" t="str">
        <f>B80&amp;" + "&amp;D80&amp;IF(F80&lt;&gt;""," + "&amp;F80,"")&amp;"-&gt;"&amp;J80&amp;" + "&amp;L80&amp;IF(N80&lt;&gt;""," + "&amp;N80,"")</f>
        <v>H- + H-&gt;H2 + e</v>
      </c>
      <c r="Z80" s="29">
        <f>O80</f>
        <v>1.8000000000000001E-15</v>
      </c>
    </row>
    <row r="81" spans="1:26" ht="22.5" hidden="1" customHeight="1" x14ac:dyDescent="0.25">
      <c r="A81" s="1"/>
      <c r="B81" s="1" t="s">
        <v>1323</v>
      </c>
      <c r="C81" s="2" t="s">
        <v>0</v>
      </c>
      <c r="D81" s="22" t="s">
        <v>1</v>
      </c>
      <c r="E81" s="2"/>
      <c r="F81" s="3"/>
      <c r="G81" s="4" t="s">
        <v>7</v>
      </c>
      <c r="H81" s="112" t="s">
        <v>1562</v>
      </c>
      <c r="I81" s="4"/>
      <c r="J81" s="122" t="s">
        <v>653</v>
      </c>
      <c r="K81" s="2" t="s">
        <v>0</v>
      </c>
      <c r="L81" s="22" t="s">
        <v>1053</v>
      </c>
      <c r="M81" s="22"/>
      <c r="N81" s="125"/>
      <c r="O81" s="126">
        <f>2.32*10^-14*Ee^2*EXP(-0.13/Ee)</f>
        <v>1.2218298314060731E-13</v>
      </c>
      <c r="P81" s="146">
        <v>1.2218298314060731E-13</v>
      </c>
      <c r="Q81" s="118" t="s">
        <v>1561</v>
      </c>
      <c r="R81" s="1"/>
      <c r="S81" s="1"/>
      <c r="T81" s="1"/>
      <c r="U81" s="24"/>
      <c r="V81" s="116" t="b">
        <f>OR(B81=$V$1,D81=$V$1,B81="2"&amp;$V$1)</f>
        <v>0</v>
      </c>
      <c r="W81" s="1" t="b">
        <f>OR(J81=$W$1,L81=$W$1,N81=$W$1,J81="2"&amp;$W$1,L81="2"&amp;$W$1,N81="2"&amp;$W$1)</f>
        <v>0</v>
      </c>
      <c r="Y81" s="25" t="str">
        <f>B81&amp;" + "&amp;D81&amp;IF(F81&lt;&gt;""," + "&amp;F81,"")&amp;"-&gt;"&amp;J81&amp;" + "&amp;L81&amp;IF(N81&lt;&gt;""," + "&amp;N81,"")</f>
        <v>H- + e-&gt;H + 2e</v>
      </c>
      <c r="Z81" s="29">
        <f>O81</f>
        <v>1.2218298314060731E-13</v>
      </c>
    </row>
    <row r="82" spans="1:26" ht="22.5" hidden="1" customHeight="1" x14ac:dyDescent="0.25">
      <c r="A82" s="1" t="s">
        <v>196</v>
      </c>
      <c r="B82" s="1" t="s">
        <v>1390</v>
      </c>
      <c r="C82" s="2" t="s">
        <v>0</v>
      </c>
      <c r="D82" s="22" t="s">
        <v>639</v>
      </c>
      <c r="E82" s="2"/>
      <c r="F82" s="22"/>
      <c r="G82" s="4" t="s">
        <v>7</v>
      </c>
      <c r="H82" s="112" t="s">
        <v>1557</v>
      </c>
      <c r="I82" s="4" t="s">
        <v>7</v>
      </c>
      <c r="J82" s="122" t="s">
        <v>1402</v>
      </c>
      <c r="K82" s="2" t="s">
        <v>0</v>
      </c>
      <c r="L82" s="22" t="s">
        <v>723</v>
      </c>
      <c r="M82" s="2"/>
      <c r="N82" s="125"/>
      <c r="O82" s="126">
        <f>3*10^-16</f>
        <v>2.9999999999999999E-16</v>
      </c>
      <c r="P82" s="146">
        <v>2.9999999999999999E-16</v>
      </c>
      <c r="Q82" s="118" t="s">
        <v>1076</v>
      </c>
      <c r="R82" s="1"/>
      <c r="S82" s="1" t="s">
        <v>1049</v>
      </c>
      <c r="T82" s="1"/>
      <c r="U82" s="24" t="s">
        <v>691</v>
      </c>
      <c r="V82" s="116" t="b">
        <f>OR(B82=$V$1,D82=$V$1,B82="2"&amp;$V$1)</f>
        <v>0</v>
      </c>
      <c r="W82" s="1" t="b">
        <f>OR(J82=$W$1,L82=$W$1,N82=$W$1,J82="2"&amp;$W$1,L82="2"&amp;$W$1,N82="2"&amp;$W$1)</f>
        <v>0</v>
      </c>
      <c r="X82" s="25" t="s">
        <v>1607</v>
      </c>
      <c r="Y82" s="25" t="str">
        <f>B82&amp;" + "&amp;D82&amp;IF(F82&lt;&gt;""," + "&amp;F82,"")&amp;"-&gt;"&amp;J82&amp;" + "&amp;L82&amp;IF(N82&lt;&gt;""," + "&amp;N82,"")</f>
        <v>O4+ + O-&gt;O2+ + O3</v>
      </c>
      <c r="Z82" s="29">
        <f>O82</f>
        <v>2.9999999999999999E-16</v>
      </c>
    </row>
    <row r="83" spans="1:26" ht="22.5" hidden="1" customHeight="1" x14ac:dyDescent="0.25">
      <c r="A83" s="1"/>
      <c r="B83" s="1" t="s">
        <v>1321</v>
      </c>
      <c r="C83" s="2" t="s">
        <v>0</v>
      </c>
      <c r="D83" s="1" t="s">
        <v>636</v>
      </c>
      <c r="E83" s="2"/>
      <c r="F83" s="3"/>
      <c r="G83" s="4" t="s">
        <v>7</v>
      </c>
      <c r="H83" s="112" t="s">
        <v>1556</v>
      </c>
      <c r="I83" s="4" t="s">
        <v>7</v>
      </c>
      <c r="J83" s="122" t="s">
        <v>811</v>
      </c>
      <c r="K83" s="2" t="s">
        <v>0</v>
      </c>
      <c r="L83" s="22" t="s">
        <v>1</v>
      </c>
      <c r="M83" s="22"/>
      <c r="N83" s="125"/>
      <c r="O83" s="126">
        <f>1*10^-17</f>
        <v>1.0000000000000001E-17</v>
      </c>
      <c r="P83" s="146"/>
      <c r="Q83" s="118" t="s">
        <v>1065</v>
      </c>
      <c r="R83" s="1"/>
      <c r="S83" s="1"/>
      <c r="T83" s="1"/>
      <c r="U83" s="24" t="s">
        <v>691</v>
      </c>
      <c r="V83" s="116" t="b">
        <f>OR(B83=$V$1,D83=$V$1,B83="2"&amp;$V$1)</f>
        <v>0</v>
      </c>
      <c r="W83" s="1" t="b">
        <f>OR(J83=$W$1,L83=$W$1,N83=$W$1,J83="2"&amp;$W$1,L83="2"&amp;$W$1,N83="2"&amp;$W$1)</f>
        <v>0</v>
      </c>
      <c r="X83" s="25" t="s">
        <v>1607</v>
      </c>
      <c r="Y83" s="25" t="str">
        <f>B83&amp;" + "&amp;D83&amp;IF(F83&lt;&gt;""," + "&amp;F83,"")&amp;"-&gt;"&amp;J83&amp;" + "&amp;L83&amp;IF(N83&lt;&gt;""," + "&amp;N83,"")</f>
        <v>OH- + N-&gt;HNO + e</v>
      </c>
      <c r="Z83" s="29">
        <f>O83</f>
        <v>1.0000000000000001E-17</v>
      </c>
    </row>
    <row r="84" spans="1:26" ht="22.5" hidden="1" customHeight="1" x14ac:dyDescent="0.25">
      <c r="A84" s="1"/>
      <c r="B84" s="1" t="s">
        <v>1321</v>
      </c>
      <c r="C84" s="2" t="s">
        <v>0</v>
      </c>
      <c r="D84" s="1" t="s">
        <v>688</v>
      </c>
      <c r="E84" s="2"/>
      <c r="F84" s="3"/>
      <c r="G84" s="4" t="s">
        <v>7</v>
      </c>
      <c r="H84" s="112" t="s">
        <v>1556</v>
      </c>
      <c r="I84" s="4" t="s">
        <v>7</v>
      </c>
      <c r="J84" s="150" t="s">
        <v>1656</v>
      </c>
      <c r="K84" s="2" t="s">
        <v>0</v>
      </c>
      <c r="L84" s="22" t="s">
        <v>1</v>
      </c>
      <c r="M84" s="22"/>
      <c r="N84" s="125"/>
      <c r="O84" s="126">
        <f>1*10^-15</f>
        <v>1.0000000000000001E-15</v>
      </c>
      <c r="P84" s="146"/>
      <c r="Q84" s="118" t="s">
        <v>1066</v>
      </c>
      <c r="R84" s="1"/>
      <c r="S84" s="1"/>
      <c r="T84" s="1"/>
      <c r="U84" s="24" t="s">
        <v>691</v>
      </c>
      <c r="V84" s="116" t="b">
        <f>OR(B84=$V$1,D84=$V$1,B84="2"&amp;$V$1)</f>
        <v>0</v>
      </c>
      <c r="W84" s="1" t="b">
        <f>OR(J84=$W$1,L84=$W$1,N84=$W$1,J84="2"&amp;$W$1,L84="2"&amp;$W$1,N84="2"&amp;$W$1)</f>
        <v>0</v>
      </c>
      <c r="X84" s="25" t="s">
        <v>1607</v>
      </c>
      <c r="Y84" s="25" t="str">
        <f>B84&amp;" + "&amp;D84&amp;IF(F84&lt;&gt;""," + "&amp;F84,"")&amp;"-&gt;"&amp;J84&amp;" + "&amp;L84&amp;IF(N84&lt;&gt;""," + "&amp;N84,"")</f>
        <v>OH- + NO-&gt;HNO2 + e</v>
      </c>
      <c r="Z84" s="29">
        <f>O84</f>
        <v>1.0000000000000001E-15</v>
      </c>
    </row>
    <row r="85" spans="1:26" ht="22.5" hidden="1" customHeight="1" x14ac:dyDescent="0.25">
      <c r="A85" s="1" t="s">
        <v>118</v>
      </c>
      <c r="B85" s="1" t="s">
        <v>1321</v>
      </c>
      <c r="C85" s="2" t="s">
        <v>0</v>
      </c>
      <c r="D85" s="22" t="s">
        <v>653</v>
      </c>
      <c r="E85" s="2"/>
      <c r="F85" s="3"/>
      <c r="G85" s="4" t="s">
        <v>7</v>
      </c>
      <c r="H85" s="112" t="s">
        <v>1556</v>
      </c>
      <c r="I85" s="4" t="s">
        <v>7</v>
      </c>
      <c r="J85" s="124" t="s">
        <v>1260</v>
      </c>
      <c r="K85" s="2" t="s">
        <v>0</v>
      </c>
      <c r="L85" s="22" t="s">
        <v>1</v>
      </c>
      <c r="M85" s="22"/>
      <c r="N85" s="125"/>
      <c r="O85" s="126">
        <f>1.8*10^-15</f>
        <v>1.8000000000000001E-15</v>
      </c>
      <c r="P85" s="146">
        <v>1.8000000000000001E-15</v>
      </c>
      <c r="Q85" s="118" t="s">
        <v>1089</v>
      </c>
      <c r="R85" s="1"/>
      <c r="S85" s="1" t="s">
        <v>1049</v>
      </c>
      <c r="T85" s="1"/>
      <c r="U85" s="24" t="s">
        <v>691</v>
      </c>
      <c r="V85" s="116" t="b">
        <f>OR(B85=$V$1,D85=$V$1,B85="2"&amp;$V$1)</f>
        <v>0</v>
      </c>
      <c r="W85" s="1" t="b">
        <f>OR(J85=$W$1,L85=$W$1,N85=$W$1,J85="2"&amp;$W$1,L85="2"&amp;$W$1,N85="2"&amp;$W$1)</f>
        <v>0</v>
      </c>
      <c r="X85" s="25" t="s">
        <v>1607</v>
      </c>
      <c r="Y85" s="25" t="str">
        <f>B85&amp;" + "&amp;D85&amp;IF(F85&lt;&gt;""," + "&amp;F85,"")&amp;"-&gt;"&amp;J85&amp;" + "&amp;L85&amp;IF(N85&lt;&gt;""," + "&amp;N85,"")</f>
        <v>OH- + H-&gt;H2O + e</v>
      </c>
      <c r="Z85" s="29">
        <f>O85</f>
        <v>1.8000000000000001E-15</v>
      </c>
    </row>
    <row r="86" spans="1:26" ht="22.5" hidden="1" customHeight="1" x14ac:dyDescent="0.25">
      <c r="A86" s="1" t="s">
        <v>329</v>
      </c>
      <c r="B86" s="1" t="s">
        <v>675</v>
      </c>
      <c r="C86" s="2" t="s">
        <v>0</v>
      </c>
      <c r="D86" s="1" t="s">
        <v>1326</v>
      </c>
      <c r="E86" s="4"/>
      <c r="F86" s="22"/>
      <c r="G86" s="2" t="s">
        <v>7</v>
      </c>
      <c r="H86" s="112" t="s">
        <v>1558</v>
      </c>
      <c r="I86" s="2" t="s">
        <v>7</v>
      </c>
      <c r="J86" s="119" t="s">
        <v>1261</v>
      </c>
      <c r="K86" s="2" t="s">
        <v>0</v>
      </c>
      <c r="L86" s="22" t="s">
        <v>636</v>
      </c>
      <c r="M86" s="2"/>
      <c r="N86" s="125"/>
      <c r="O86" s="126">
        <f>2*10^-13*(300/Tg)^0.5</f>
        <v>1.9900743804199784E-13</v>
      </c>
      <c r="P86" s="146">
        <v>1.9900743804199784E-13</v>
      </c>
      <c r="Q86" s="118" t="s">
        <v>1166</v>
      </c>
      <c r="R86" s="1"/>
      <c r="S86" s="1" t="s">
        <v>1049</v>
      </c>
      <c r="T86" s="1"/>
      <c r="U86" s="24" t="s">
        <v>690</v>
      </c>
      <c r="V86" s="116" t="b">
        <f>OR(B86=$V$1,D86=$V$1,B86="2"&amp;$V$1)</f>
        <v>0</v>
      </c>
      <c r="W86" s="1" t="b">
        <f>OR(J86=$W$1,L86=$W$1,N86=$W$1,J86="2"&amp;$W$1,L86="2"&amp;$W$1,N86="2"&amp;$W$1)</f>
        <v>1</v>
      </c>
      <c r="Y86" s="25" t="str">
        <f>B86&amp;" + "&amp;D86&amp;IF(F86&lt;&gt;""," + "&amp;F86,"")&amp;"-&gt;"&amp;J86&amp;" + "&amp;L86&amp;IF(N86&lt;&gt;""," + "&amp;N86,"")</f>
        <v>N+ + NO2--&gt;NO2 + N</v>
      </c>
      <c r="Z86" s="29">
        <f>O86</f>
        <v>1.9900743804199784E-13</v>
      </c>
    </row>
    <row r="87" spans="1:26" ht="22.5" hidden="1" customHeight="1" x14ac:dyDescent="0.25">
      <c r="A87" s="1" t="s">
        <v>330</v>
      </c>
      <c r="B87" s="1" t="s">
        <v>675</v>
      </c>
      <c r="C87" s="2" t="s">
        <v>0</v>
      </c>
      <c r="D87" s="1" t="s">
        <v>1327</v>
      </c>
      <c r="E87" s="4"/>
      <c r="F87" s="22"/>
      <c r="G87" s="2" t="s">
        <v>7</v>
      </c>
      <c r="H87" s="112" t="s">
        <v>1558</v>
      </c>
      <c r="I87" s="2" t="s">
        <v>7</v>
      </c>
      <c r="J87" s="119" t="s">
        <v>1263</v>
      </c>
      <c r="K87" s="2" t="s">
        <v>0</v>
      </c>
      <c r="L87" s="22" t="s">
        <v>636</v>
      </c>
      <c r="M87" s="2"/>
      <c r="N87" s="125"/>
      <c r="O87" s="126">
        <f>2*10^-13*(300/Tg)^0.5</f>
        <v>1.9900743804199784E-13</v>
      </c>
      <c r="P87" s="146">
        <v>1.9900743804199784E-13</v>
      </c>
      <c r="Q87" s="118" t="s">
        <v>1166</v>
      </c>
      <c r="R87" s="1"/>
      <c r="S87" s="1" t="s">
        <v>1049</v>
      </c>
      <c r="T87" s="1"/>
      <c r="U87" s="24" t="s">
        <v>690</v>
      </c>
      <c r="V87" s="116" t="b">
        <f>OR(B87=$V$1,D87=$V$1,B87="2"&amp;$V$1)</f>
        <v>0</v>
      </c>
      <c r="W87" s="1" t="b">
        <f>OR(J87=$W$1,L87=$W$1,N87=$W$1,J87="2"&amp;$W$1,L87="2"&amp;$W$1,N87="2"&amp;$W$1)</f>
        <v>0</v>
      </c>
      <c r="Y87" s="25" t="str">
        <f>B87&amp;" + "&amp;D87&amp;IF(F87&lt;&gt;""," + "&amp;F87,"")&amp;"-&gt;"&amp;J87&amp;" + "&amp;L87&amp;IF(N87&lt;&gt;""," + "&amp;N87,"")</f>
        <v>N+ + NO3--&gt;NO3 + N</v>
      </c>
      <c r="Z87" s="29">
        <f>O87</f>
        <v>1.9900743804199784E-13</v>
      </c>
    </row>
    <row r="88" spans="1:26" ht="22.5" hidden="1" customHeight="1" x14ac:dyDescent="0.25">
      <c r="A88" s="1" t="s">
        <v>331</v>
      </c>
      <c r="B88" s="1" t="s">
        <v>675</v>
      </c>
      <c r="C88" s="2" t="s">
        <v>0</v>
      </c>
      <c r="D88" s="1" t="s">
        <v>1328</v>
      </c>
      <c r="E88" s="4"/>
      <c r="F88" s="22"/>
      <c r="G88" s="2" t="s">
        <v>7</v>
      </c>
      <c r="H88" s="112" t="s">
        <v>1558</v>
      </c>
      <c r="I88" s="2" t="s">
        <v>7</v>
      </c>
      <c r="J88" s="119" t="s">
        <v>639</v>
      </c>
      <c r="K88" s="2" t="s">
        <v>0</v>
      </c>
      <c r="L88" s="22" t="s">
        <v>636</v>
      </c>
      <c r="M88" s="4"/>
      <c r="N88" s="125"/>
      <c r="O88" s="126">
        <f>2*10^-13*(300/Tg)^0.5</f>
        <v>1.9900743804199784E-13</v>
      </c>
      <c r="P88" s="146">
        <v>1.9900743804199784E-13</v>
      </c>
      <c r="Q88" s="118" t="s">
        <v>1166</v>
      </c>
      <c r="R88" s="1"/>
      <c r="S88" s="1" t="s">
        <v>1049</v>
      </c>
      <c r="T88" s="1"/>
      <c r="U88" s="24" t="s">
        <v>756</v>
      </c>
      <c r="V88" s="116" t="b">
        <f>OR(B88=$V$1,D88=$V$1,B88="2"&amp;$V$1)</f>
        <v>0</v>
      </c>
      <c r="W88" s="1" t="b">
        <f>OR(J88=$W$1,L88=$W$1,N88=$W$1,J88="2"&amp;$W$1,L88="2"&amp;$W$1,N88="2"&amp;$W$1)</f>
        <v>0</v>
      </c>
      <c r="Y88" s="25" t="str">
        <f>B88&amp;" + "&amp;D88&amp;IF(F88&lt;&gt;""," + "&amp;F88,"")&amp;"-&gt;"&amp;J88&amp;" + "&amp;L88&amp;IF(N88&lt;&gt;""," + "&amp;N88,"")</f>
        <v>N+ + O--&gt;O + N</v>
      </c>
      <c r="Z88" s="29">
        <f>O88</f>
        <v>1.9900743804199784E-13</v>
      </c>
    </row>
    <row r="89" spans="1:26" ht="22.5" hidden="1" customHeight="1" x14ac:dyDescent="0.25">
      <c r="A89" s="1" t="s">
        <v>332</v>
      </c>
      <c r="B89" s="1" t="s">
        <v>675</v>
      </c>
      <c r="C89" s="2" t="s">
        <v>0</v>
      </c>
      <c r="D89" s="1" t="s">
        <v>1329</v>
      </c>
      <c r="E89" s="4"/>
      <c r="F89" s="22"/>
      <c r="G89" s="2" t="s">
        <v>7</v>
      </c>
      <c r="H89" s="112" t="s">
        <v>1558</v>
      </c>
      <c r="I89" s="2" t="s">
        <v>7</v>
      </c>
      <c r="J89" s="119" t="s">
        <v>637</v>
      </c>
      <c r="K89" s="2" t="s">
        <v>0</v>
      </c>
      <c r="L89" s="22" t="s">
        <v>636</v>
      </c>
      <c r="M89" s="4"/>
      <c r="N89" s="125"/>
      <c r="O89" s="126">
        <f>2*10^-13*(300/Tg)^0.5</f>
        <v>1.9900743804199784E-13</v>
      </c>
      <c r="P89" s="146">
        <v>1.9900743804199784E-13</v>
      </c>
      <c r="Q89" s="118" t="s">
        <v>1166</v>
      </c>
      <c r="R89" s="1"/>
      <c r="S89" s="1" t="s">
        <v>1049</v>
      </c>
      <c r="T89" s="1"/>
      <c r="U89" s="24" t="s">
        <v>756</v>
      </c>
      <c r="V89" s="116" t="b">
        <f>OR(B89=$V$1,D89=$V$1,B89="2"&amp;$V$1)</f>
        <v>0</v>
      </c>
      <c r="W89" s="1" t="b">
        <f>OR(J89=$W$1,L89=$W$1,N89=$W$1,J89="2"&amp;$W$1,L89="2"&amp;$W$1,N89="2"&amp;$W$1)</f>
        <v>0</v>
      </c>
      <c r="Y89" s="25" t="str">
        <f>B89&amp;" + "&amp;D89&amp;IF(F89&lt;&gt;""," + "&amp;F89,"")&amp;"-&gt;"&amp;J89&amp;" + "&amp;L89&amp;IF(N89&lt;&gt;""," + "&amp;N89,"")</f>
        <v>N+ + O2--&gt;O2 + N</v>
      </c>
      <c r="Z89" s="29">
        <f>O89</f>
        <v>1.9900743804199784E-13</v>
      </c>
    </row>
    <row r="90" spans="1:26" ht="22.5" hidden="1" customHeight="1" x14ac:dyDescent="0.25">
      <c r="A90" s="1" t="s">
        <v>333</v>
      </c>
      <c r="B90" s="1" t="s">
        <v>675</v>
      </c>
      <c r="C90" s="2" t="s">
        <v>0</v>
      </c>
      <c r="D90" s="1" t="s">
        <v>1330</v>
      </c>
      <c r="E90" s="4"/>
      <c r="F90" s="22"/>
      <c r="G90" s="2" t="s">
        <v>7</v>
      </c>
      <c r="H90" s="112" t="s">
        <v>1558</v>
      </c>
      <c r="I90" s="2" t="s">
        <v>7</v>
      </c>
      <c r="J90" s="119" t="s">
        <v>638</v>
      </c>
      <c r="K90" s="2" t="s">
        <v>0</v>
      </c>
      <c r="L90" s="22" t="s">
        <v>636</v>
      </c>
      <c r="M90" s="4"/>
      <c r="N90" s="125"/>
      <c r="O90" s="126">
        <f>2*10^-13*(300/Tg)^0.5</f>
        <v>1.9900743804199784E-13</v>
      </c>
      <c r="P90" s="146">
        <v>1.9900743804199784E-13</v>
      </c>
      <c r="Q90" s="118" t="s">
        <v>1166</v>
      </c>
      <c r="R90" s="1"/>
      <c r="S90" s="1" t="s">
        <v>1049</v>
      </c>
      <c r="T90" s="1"/>
      <c r="U90" s="24" t="s">
        <v>756</v>
      </c>
      <c r="V90" s="116" t="b">
        <f>OR(B90=$V$1,D90=$V$1,B90="2"&amp;$V$1)</f>
        <v>0</v>
      </c>
      <c r="W90" s="1" t="b">
        <f>OR(J90=$W$1,L90=$W$1,N90=$W$1,J90="2"&amp;$W$1,L90="2"&amp;$W$1,N90="2"&amp;$W$1)</f>
        <v>0</v>
      </c>
      <c r="Y90" s="25" t="str">
        <f>B90&amp;" + "&amp;D90&amp;IF(F90&lt;&gt;""," + "&amp;F90,"")&amp;"-&gt;"&amp;J90&amp;" + "&amp;L90&amp;IF(N90&lt;&gt;""," + "&amp;N90,"")</f>
        <v>N+ + O3--&gt;O3 + N</v>
      </c>
      <c r="Z90" s="29">
        <f>O90</f>
        <v>1.9900743804199784E-13</v>
      </c>
    </row>
    <row r="91" spans="1:26" ht="22.5" hidden="1" customHeight="1" x14ac:dyDescent="0.25">
      <c r="A91" s="1" t="s">
        <v>335</v>
      </c>
      <c r="B91" s="1" t="s">
        <v>675</v>
      </c>
      <c r="C91" s="2" t="s">
        <v>0</v>
      </c>
      <c r="D91" s="1" t="s">
        <v>1323</v>
      </c>
      <c r="E91" s="2"/>
      <c r="F91" s="22"/>
      <c r="G91" s="4" t="s">
        <v>7</v>
      </c>
      <c r="H91" s="112" t="s">
        <v>1558</v>
      </c>
      <c r="I91" s="4" t="s">
        <v>7</v>
      </c>
      <c r="J91" s="119" t="s">
        <v>636</v>
      </c>
      <c r="K91" s="2" t="s">
        <v>0</v>
      </c>
      <c r="L91" s="22" t="s">
        <v>653</v>
      </c>
      <c r="M91" s="2"/>
      <c r="N91" s="125"/>
      <c r="O91" s="126">
        <f>2*10^-13*(300/Tg)^0.5</f>
        <v>1.9900743804199784E-13</v>
      </c>
      <c r="P91" s="146">
        <v>1.9900743804199784E-13</v>
      </c>
      <c r="Q91" s="118" t="s">
        <v>1166</v>
      </c>
      <c r="R91" s="1"/>
      <c r="S91" s="1" t="s">
        <v>1049</v>
      </c>
      <c r="T91" s="1"/>
      <c r="U91" s="24" t="s">
        <v>703</v>
      </c>
      <c r="V91" s="116" t="b">
        <f>OR(B91=$V$1,D91=$V$1,B91="2"&amp;$V$1)</f>
        <v>0</v>
      </c>
      <c r="W91" s="1" t="b">
        <f>OR(J91=$W$1,L91=$W$1,N91=$W$1,J91="2"&amp;$W$1,L91="2"&amp;$W$1,N91="2"&amp;$W$1)</f>
        <v>0</v>
      </c>
      <c r="Y91" s="25" t="str">
        <f>B91&amp;" + "&amp;D91&amp;IF(F91&lt;&gt;""," + "&amp;F91,"")&amp;"-&gt;"&amp;J91&amp;" + "&amp;L91&amp;IF(N91&lt;&gt;""," + "&amp;N91,"")</f>
        <v>N+ + H--&gt;N + H</v>
      </c>
      <c r="Z91" s="29">
        <f>O91</f>
        <v>1.9900743804199784E-13</v>
      </c>
    </row>
    <row r="92" spans="1:26" ht="22.5" hidden="1" customHeight="1" x14ac:dyDescent="0.25">
      <c r="A92" s="1" t="s">
        <v>336</v>
      </c>
      <c r="B92" s="1" t="s">
        <v>675</v>
      </c>
      <c r="C92" s="2" t="s">
        <v>0</v>
      </c>
      <c r="D92" s="1" t="s">
        <v>1332</v>
      </c>
      <c r="E92" s="2"/>
      <c r="F92" s="22"/>
      <c r="G92" s="4" t="s">
        <v>7</v>
      </c>
      <c r="H92" s="112" t="s">
        <v>1558</v>
      </c>
      <c r="I92" s="4" t="s">
        <v>7</v>
      </c>
      <c r="J92" s="119" t="s">
        <v>636</v>
      </c>
      <c r="K92" s="2" t="s">
        <v>0</v>
      </c>
      <c r="L92" s="22" t="s">
        <v>654</v>
      </c>
      <c r="M92" s="2"/>
      <c r="N92" s="125"/>
      <c r="O92" s="126">
        <f>2*10^-13*(300/Tg)^0.5</f>
        <v>1.9900743804199784E-13</v>
      </c>
      <c r="P92" s="146">
        <v>1.9900743804199784E-13</v>
      </c>
      <c r="Q92" s="118" t="s">
        <v>1166</v>
      </c>
      <c r="R92" s="1"/>
      <c r="S92" s="1" t="s">
        <v>1049</v>
      </c>
      <c r="T92" s="1"/>
      <c r="U92" s="24" t="s">
        <v>703</v>
      </c>
      <c r="V92" s="116" t="b">
        <f>OR(B92=$V$1,D92=$V$1,B92="2"&amp;$V$1)</f>
        <v>0</v>
      </c>
      <c r="W92" s="1" t="b">
        <f>OR(J92=$W$1,L92=$W$1,N92=$W$1,J92="2"&amp;$W$1,L92="2"&amp;$W$1,N92="2"&amp;$W$1)</f>
        <v>0</v>
      </c>
      <c r="Y92" s="25" t="str">
        <f>B92&amp;" + "&amp;D92&amp;IF(F92&lt;&gt;""," + "&amp;F92,"")&amp;"-&gt;"&amp;J92&amp;" + "&amp;L92&amp;IF(N92&lt;&gt;""," + "&amp;N92,"")</f>
        <v>N+ + OH--&gt;N + OH</v>
      </c>
      <c r="Z92" s="29">
        <f>O92</f>
        <v>1.9900743804199784E-13</v>
      </c>
    </row>
    <row r="93" spans="1:26" ht="22.5" hidden="1" customHeight="1" x14ac:dyDescent="0.25">
      <c r="A93" s="1" t="s">
        <v>334</v>
      </c>
      <c r="B93" s="1" t="s">
        <v>675</v>
      </c>
      <c r="C93" s="2" t="s">
        <v>0</v>
      </c>
      <c r="D93" s="1" t="s">
        <v>1331</v>
      </c>
      <c r="E93" s="2"/>
      <c r="F93" s="22"/>
      <c r="G93" s="4" t="s">
        <v>7</v>
      </c>
      <c r="H93" s="112" t="s">
        <v>1558</v>
      </c>
      <c r="I93" s="4" t="s">
        <v>7</v>
      </c>
      <c r="J93" s="119" t="s">
        <v>1409</v>
      </c>
      <c r="K93" s="2" t="s">
        <v>0</v>
      </c>
      <c r="L93" s="1" t="s">
        <v>636</v>
      </c>
      <c r="M93" s="2"/>
      <c r="N93" s="125"/>
      <c r="O93" s="126">
        <f>1*10^-13</f>
        <v>1E-13</v>
      </c>
      <c r="P93" s="146">
        <v>1E-13</v>
      </c>
      <c r="Q93" s="118" t="s">
        <v>1167</v>
      </c>
      <c r="R93" s="1"/>
      <c r="S93" s="1" t="s">
        <v>1049</v>
      </c>
      <c r="T93" s="1"/>
      <c r="U93" s="24" t="s">
        <v>690</v>
      </c>
      <c r="V93" s="116" t="b">
        <f>OR(B93=$V$1,D93=$V$1,B93="2"&amp;$V$1)</f>
        <v>0</v>
      </c>
      <c r="W93" s="1" t="b">
        <f>OR(J93=$W$1,L93=$W$1,N93=$W$1,J93="2"&amp;$W$1,L93="2"&amp;$W$1,N93="2"&amp;$W$1)</f>
        <v>0</v>
      </c>
      <c r="Y93" s="25" t="str">
        <f>B93&amp;" + "&amp;D93&amp;IF(F93&lt;&gt;""," + "&amp;F93,"")&amp;"-&gt;"&amp;J93&amp;" + "&amp;L93&amp;IF(N93&lt;&gt;""," + "&amp;N93,"")</f>
        <v>N+ + O4--&gt;2O2 + N</v>
      </c>
      <c r="Z93" s="29">
        <f>O93</f>
        <v>1E-13</v>
      </c>
    </row>
    <row r="94" spans="1:26" ht="22.5" hidden="1" customHeight="1" x14ac:dyDescent="0.25">
      <c r="A94" s="1" t="s">
        <v>135</v>
      </c>
      <c r="B94" s="1" t="s">
        <v>675</v>
      </c>
      <c r="C94" s="2" t="s">
        <v>0</v>
      </c>
      <c r="D94" s="3" t="s">
        <v>641</v>
      </c>
      <c r="E94" s="2"/>
      <c r="F94" s="1"/>
      <c r="G94" s="4" t="s">
        <v>7</v>
      </c>
      <c r="H94" s="112" t="s">
        <v>1557</v>
      </c>
      <c r="I94" s="4" t="s">
        <v>7</v>
      </c>
      <c r="J94" s="119" t="s">
        <v>1256</v>
      </c>
      <c r="K94" s="2" t="s">
        <v>0</v>
      </c>
      <c r="L94" s="22" t="s">
        <v>636</v>
      </c>
      <c r="M94" s="22"/>
      <c r="N94" s="125"/>
      <c r="O94" s="126">
        <f>1.19*10^-15</f>
        <v>1.19E-15</v>
      </c>
      <c r="P94" s="146">
        <v>1.19E-15</v>
      </c>
      <c r="Q94" s="118" t="s">
        <v>1094</v>
      </c>
      <c r="R94" s="1"/>
      <c r="S94" s="1" t="s">
        <v>1049</v>
      </c>
      <c r="T94" s="1"/>
      <c r="U94" s="24" t="s">
        <v>807</v>
      </c>
      <c r="V94" s="116" t="b">
        <f>OR(B94=$V$1,D94=$V$1,B94="2"&amp;$V$1)</f>
        <v>0</v>
      </c>
      <c r="W94" s="1" t="b">
        <f>OR(J94=$W$1,L94=$W$1,N94=$W$1,J94="2"&amp;$W$1,L94="2"&amp;$W$1,N94="2"&amp;$W$1)</f>
        <v>0</v>
      </c>
      <c r="Y94" s="25" t="str">
        <f>B94&amp;" + "&amp;D94&amp;IF(F94&lt;&gt;""," + "&amp;F94,"")&amp;"-&gt;"&amp;J94&amp;" + "&amp;L94&amp;IF(N94&lt;&gt;""," + "&amp;N94,"")</f>
        <v>N+ + H2O-&gt;H2O+ + N</v>
      </c>
      <c r="Z94" s="29">
        <f>O94</f>
        <v>1.19E-15</v>
      </c>
    </row>
    <row r="95" spans="1:26" ht="22.5" hidden="1" customHeight="1" x14ac:dyDescent="0.25">
      <c r="A95" s="1" t="s">
        <v>122</v>
      </c>
      <c r="B95" s="1" t="s">
        <v>675</v>
      </c>
      <c r="C95" s="2" t="s">
        <v>0</v>
      </c>
      <c r="D95" s="1" t="s">
        <v>688</v>
      </c>
      <c r="E95" s="2"/>
      <c r="F95" s="3"/>
      <c r="G95" s="4" t="s">
        <v>7</v>
      </c>
      <c r="H95" s="112" t="s">
        <v>1557</v>
      </c>
      <c r="I95" s="4" t="s">
        <v>7</v>
      </c>
      <c r="J95" s="119" t="s">
        <v>1264</v>
      </c>
      <c r="K95" s="2" t="s">
        <v>0</v>
      </c>
      <c r="L95" s="22" t="s">
        <v>636</v>
      </c>
      <c r="M95" s="22"/>
      <c r="N95" s="125"/>
      <c r="O95" s="126">
        <f>8*10^-16</f>
        <v>7.9999999999999998E-16</v>
      </c>
      <c r="P95" s="146">
        <v>4.7199999999999998E-16</v>
      </c>
      <c r="Q95" s="118" t="s">
        <v>1123</v>
      </c>
      <c r="R95" s="1"/>
      <c r="S95" s="1" t="s">
        <v>1049</v>
      </c>
      <c r="T95" s="1"/>
      <c r="U95" s="24" t="s">
        <v>691</v>
      </c>
      <c r="V95" s="116" t="b">
        <f>OR(B95=$V$1,D95=$V$1,B95="2"&amp;$V$1)</f>
        <v>0</v>
      </c>
      <c r="W95" s="1" t="b">
        <f>OR(J95=$W$1,L95=$W$1,N95=$W$1,J95="2"&amp;$W$1,L95="2"&amp;$W$1,N95="2"&amp;$W$1)</f>
        <v>0</v>
      </c>
      <c r="X95" s="25" t="s">
        <v>1607</v>
      </c>
      <c r="Y95" s="25" t="str">
        <f>B95&amp;" + "&amp;D95&amp;IF(F95&lt;&gt;""," + "&amp;F95,"")&amp;"-&gt;"&amp;J95&amp;" + "&amp;L95&amp;IF(N95&lt;&gt;""," + "&amp;N95,"")</f>
        <v>N+ + NO-&gt;NO+ + N</v>
      </c>
      <c r="Z95" s="29">
        <f>O95</f>
        <v>7.9999999999999998E-16</v>
      </c>
    </row>
    <row r="96" spans="1:26" ht="22.5" hidden="1" customHeight="1" x14ac:dyDescent="0.25">
      <c r="A96" s="1" t="s">
        <v>121</v>
      </c>
      <c r="B96" s="1" t="s">
        <v>675</v>
      </c>
      <c r="C96" s="2" t="s">
        <v>0</v>
      </c>
      <c r="D96" s="22" t="s">
        <v>784</v>
      </c>
      <c r="E96" s="2"/>
      <c r="F96" s="3"/>
      <c r="G96" s="4" t="s">
        <v>7</v>
      </c>
      <c r="H96" s="112" t="s">
        <v>1557</v>
      </c>
      <c r="I96" s="4" t="s">
        <v>7</v>
      </c>
      <c r="J96" s="119" t="s">
        <v>1264</v>
      </c>
      <c r="K96" s="2" t="s">
        <v>0</v>
      </c>
      <c r="L96" s="22" t="s">
        <v>689</v>
      </c>
      <c r="M96" s="22"/>
      <c r="N96" s="125"/>
      <c r="O96" s="126">
        <f>5.5*10^-16</f>
        <v>5.4999999999999996E-16</v>
      </c>
      <c r="P96" s="146">
        <v>5.4999999999999996E-16</v>
      </c>
      <c r="Q96" s="118" t="s">
        <v>1091</v>
      </c>
      <c r="R96" s="1"/>
      <c r="S96" s="1" t="s">
        <v>1049</v>
      </c>
      <c r="T96" s="1"/>
      <c r="U96" s="24" t="s">
        <v>691</v>
      </c>
      <c r="V96" s="116" t="b">
        <f>OR(B96=$V$1,D96=$V$1,B96="2"&amp;$V$1)</f>
        <v>0</v>
      </c>
      <c r="W96" s="1" t="b">
        <f>OR(J96=$W$1,L96=$W$1,N96=$W$1,J96="2"&amp;$W$1,L96="2"&amp;$W$1,N96="2"&amp;$W$1)</f>
        <v>0</v>
      </c>
      <c r="X96" s="25" t="s">
        <v>1607</v>
      </c>
      <c r="Y96" s="25" t="str">
        <f>B96&amp;" + "&amp;D96&amp;IF(F96&lt;&gt;""," + "&amp;F96,"")&amp;"-&gt;"&amp;J96&amp;" + "&amp;L96&amp;IF(N96&lt;&gt;""," + "&amp;N96,"")</f>
        <v>N+ + N2O-&gt;NO+ + N2</v>
      </c>
      <c r="Z96" s="29">
        <f>O96</f>
        <v>5.4999999999999996E-16</v>
      </c>
    </row>
    <row r="97" spans="1:26" ht="22.5" hidden="1" customHeight="1" x14ac:dyDescent="0.25">
      <c r="A97" s="1" t="s">
        <v>126</v>
      </c>
      <c r="B97" s="1" t="s">
        <v>675</v>
      </c>
      <c r="C97" s="2" t="s">
        <v>0</v>
      </c>
      <c r="D97" s="22" t="s">
        <v>739</v>
      </c>
      <c r="E97" s="2"/>
      <c r="F97" s="3"/>
      <c r="G97" s="4" t="s">
        <v>7</v>
      </c>
      <c r="H97" s="112" t="s">
        <v>1557</v>
      </c>
      <c r="I97" s="4" t="s">
        <v>7</v>
      </c>
      <c r="J97" s="119" t="s">
        <v>1264</v>
      </c>
      <c r="K97" s="2" t="s">
        <v>0</v>
      </c>
      <c r="L97" s="22" t="s">
        <v>688</v>
      </c>
      <c r="M97" s="22"/>
      <c r="N97" s="125"/>
      <c r="O97" s="126">
        <f>5*10^-16</f>
        <v>5.0000000000000004E-16</v>
      </c>
      <c r="P97" s="146">
        <v>5.0000000000000004E-16</v>
      </c>
      <c r="Q97" s="118" t="s">
        <v>1078</v>
      </c>
      <c r="R97" s="1"/>
      <c r="S97" s="1" t="s">
        <v>1049</v>
      </c>
      <c r="T97" s="1"/>
      <c r="U97" s="24" t="s">
        <v>805</v>
      </c>
      <c r="V97" s="116" t="b">
        <f>OR(B97=$V$1,D97=$V$1,B97="2"&amp;$V$1)</f>
        <v>0</v>
      </c>
      <c r="W97" s="1" t="b">
        <f>OR(J97=$W$1,L97=$W$1,N97=$W$1,J97="2"&amp;$W$1,L97="2"&amp;$W$1,N97="2"&amp;$W$1)</f>
        <v>0</v>
      </c>
      <c r="Y97" s="25" t="str">
        <f>B97&amp;" + "&amp;D97&amp;IF(F97&lt;&gt;""," + "&amp;F97,"")&amp;"-&gt;"&amp;J97&amp;" + "&amp;L97&amp;IF(N97&lt;&gt;""," + "&amp;N97,"")</f>
        <v>N+ + NO2-&gt;NO+ + NO</v>
      </c>
      <c r="Z97" s="29">
        <f>O97</f>
        <v>5.0000000000000004E-16</v>
      </c>
    </row>
    <row r="98" spans="1:26" ht="22.5" hidden="1" customHeight="1" x14ac:dyDescent="0.25">
      <c r="A98" s="1" t="s">
        <v>132</v>
      </c>
      <c r="B98" s="1" t="s">
        <v>675</v>
      </c>
      <c r="C98" s="2" t="s">
        <v>0</v>
      </c>
      <c r="D98" s="22" t="s">
        <v>723</v>
      </c>
      <c r="E98" s="4"/>
      <c r="F98" s="1"/>
      <c r="G98" s="2" t="s">
        <v>7</v>
      </c>
      <c r="H98" s="112" t="s">
        <v>1557</v>
      </c>
      <c r="I98" s="2" t="s">
        <v>7</v>
      </c>
      <c r="J98" s="119" t="s">
        <v>1264</v>
      </c>
      <c r="K98" s="2" t="s">
        <v>0</v>
      </c>
      <c r="L98" s="22" t="s">
        <v>649</v>
      </c>
      <c r="M98" s="22"/>
      <c r="N98" s="125"/>
      <c r="O98" s="126">
        <f>5*10^-16</f>
        <v>5.0000000000000004E-16</v>
      </c>
      <c r="P98" s="146">
        <v>5.0000000000000004E-16</v>
      </c>
      <c r="Q98" s="118" t="s">
        <v>1078</v>
      </c>
      <c r="R98" s="1"/>
      <c r="S98" s="1" t="s">
        <v>1049</v>
      </c>
      <c r="T98" s="1"/>
      <c r="U98" s="24" t="s">
        <v>691</v>
      </c>
      <c r="V98" s="116" t="b">
        <f>OR(B98=$V$1,D98=$V$1,B98="2"&amp;$V$1)</f>
        <v>0</v>
      </c>
      <c r="W98" s="1" t="b">
        <f>OR(J98=$W$1,L98=$W$1,N98=$W$1,J98="2"&amp;$W$1,L98="2"&amp;$W$1,N98="2"&amp;$W$1)</f>
        <v>0</v>
      </c>
      <c r="X98" s="25" t="s">
        <v>1607</v>
      </c>
      <c r="Y98" s="25" t="str">
        <f>B98&amp;" + "&amp;D98&amp;IF(F98&lt;&gt;""," + "&amp;F98,"")&amp;"-&gt;"&amp;J98&amp;" + "&amp;L98&amp;IF(N98&lt;&gt;""," + "&amp;N98,"")</f>
        <v>N+ + O3-&gt;NO+ + O2</v>
      </c>
      <c r="Z98" s="29">
        <f>O98</f>
        <v>5.0000000000000004E-16</v>
      </c>
    </row>
    <row r="99" spans="1:26" ht="22.5" hidden="1" customHeight="1" x14ac:dyDescent="0.25">
      <c r="A99" s="1" t="s">
        <v>120</v>
      </c>
      <c r="B99" s="1" t="s">
        <v>675</v>
      </c>
      <c r="C99" s="2" t="s">
        <v>0</v>
      </c>
      <c r="D99" s="22" t="s">
        <v>689</v>
      </c>
      <c r="E99" s="4" t="s">
        <v>0</v>
      </c>
      <c r="F99" s="1" t="s">
        <v>1566</v>
      </c>
      <c r="G99" s="2" t="s">
        <v>7</v>
      </c>
      <c r="H99" s="112" t="s">
        <v>1630</v>
      </c>
      <c r="I99" s="2" t="s">
        <v>7</v>
      </c>
      <c r="J99" s="119" t="s">
        <v>1403</v>
      </c>
      <c r="K99" s="2" t="s">
        <v>0</v>
      </c>
      <c r="L99" s="22" t="s">
        <v>1566</v>
      </c>
      <c r="N99" s="128"/>
      <c r="O99" s="126">
        <f>1.7*10^-41*(300/Teff)^2.1*NM</f>
        <v>4.4950838835833803E-16</v>
      </c>
      <c r="P99" s="146">
        <v>1.2420000000000001E-15</v>
      </c>
      <c r="Q99" s="118" t="s">
        <v>1632</v>
      </c>
      <c r="R99" s="1"/>
      <c r="S99" s="1" t="s">
        <v>1049</v>
      </c>
      <c r="T99" s="1"/>
      <c r="U99" s="24" t="s">
        <v>691</v>
      </c>
      <c r="V99" s="116" t="b">
        <f>OR(B99=$V$1,D99=$V$1,B99="2"&amp;$V$1)</f>
        <v>0</v>
      </c>
      <c r="W99" s="1" t="b">
        <f>OR(J99=$W$1,L99=$W$1,N99=$W$1,J99="2"&amp;$W$1,L99="2"&amp;$W$1,N99="2"&amp;$W$1)</f>
        <v>0</v>
      </c>
      <c r="X99" s="25" t="s">
        <v>1607</v>
      </c>
      <c r="Y99" s="25" t="str">
        <f>B99&amp;" + "&amp;D99&amp;IF(F99&lt;&gt;""," + "&amp;F99,"")&amp;"-&gt;"&amp;J99&amp;" + "&amp;L99&amp;IF(N99&lt;&gt;""," + "&amp;N99,"")</f>
        <v>N+ + N2 + O2-&gt;N3+ + O2</v>
      </c>
      <c r="Z99" s="29">
        <f>O99</f>
        <v>4.4950838835833803E-16</v>
      </c>
    </row>
    <row r="100" spans="1:26" ht="22.5" hidden="1" customHeight="1" x14ac:dyDescent="0.25">
      <c r="A100" s="1"/>
      <c r="B100" s="1" t="s">
        <v>645</v>
      </c>
      <c r="C100" s="2" t="s">
        <v>0</v>
      </c>
      <c r="D100" s="22" t="s">
        <v>3</v>
      </c>
      <c r="E100" s="2" t="s">
        <v>0</v>
      </c>
      <c r="F100" s="1" t="s">
        <v>1565</v>
      </c>
      <c r="G100" s="4" t="s">
        <v>7</v>
      </c>
      <c r="H100" s="112" t="s">
        <v>1630</v>
      </c>
      <c r="I100" s="4" t="s">
        <v>7</v>
      </c>
      <c r="J100" s="119" t="s">
        <v>832</v>
      </c>
      <c r="K100" s="2" t="s">
        <v>0</v>
      </c>
      <c r="L100" s="22" t="s">
        <v>3</v>
      </c>
      <c r="M100" s="2"/>
      <c r="N100" s="128"/>
      <c r="O100" s="126">
        <f>1.7*10^-41*(300/Teff)^2.1*NM</f>
        <v>4.4950838835833803E-16</v>
      </c>
      <c r="P100" s="146">
        <v>1.2420000000000001E-15</v>
      </c>
      <c r="Q100" s="118" t="s">
        <v>1632</v>
      </c>
      <c r="R100" s="1"/>
      <c r="S100" s="1"/>
      <c r="T100" s="1"/>
      <c r="U100" s="24" t="s">
        <v>691</v>
      </c>
      <c r="V100" s="116" t="b">
        <f>OR(B100=$V$1,D100=$V$1,B100="2"&amp;$V$1)</f>
        <v>0</v>
      </c>
      <c r="W100" s="1" t="b">
        <f>OR(J100=$W$1,L100=$W$1,N100=$W$1,J100="2"&amp;$W$1,L100="2"&amp;$W$1,N100="2"&amp;$W$1)</f>
        <v>0</v>
      </c>
      <c r="X100" s="25" t="s">
        <v>1607</v>
      </c>
      <c r="Y100" s="25" t="str">
        <f>B100&amp;" + "&amp;D100&amp;IF(F100&lt;&gt;""," + "&amp;F100,"")&amp;"-&gt;"&amp;J100&amp;" + "&amp;L100&amp;IF(N100&lt;&gt;""," + "&amp;N100,"")</f>
        <v>N+ + N2 + N2-&gt;N3+ + N2</v>
      </c>
      <c r="Z100" s="29">
        <f>O100</f>
        <v>4.4950838835833803E-16</v>
      </c>
    </row>
    <row r="101" spans="1:26" ht="22.5" hidden="1" customHeight="1" x14ac:dyDescent="0.25">
      <c r="A101" s="1" t="s">
        <v>35</v>
      </c>
      <c r="B101" s="1" t="s">
        <v>1</v>
      </c>
      <c r="C101" s="2" t="s">
        <v>0</v>
      </c>
      <c r="D101" s="3" t="s">
        <v>675</v>
      </c>
      <c r="E101" s="2" t="s">
        <v>0</v>
      </c>
      <c r="F101" s="3" t="s">
        <v>687</v>
      </c>
      <c r="G101" s="4" t="s">
        <v>7</v>
      </c>
      <c r="H101" s="112" t="s">
        <v>1628</v>
      </c>
      <c r="I101" s="4" t="s">
        <v>7</v>
      </c>
      <c r="J101" s="119" t="s">
        <v>636</v>
      </c>
      <c r="K101" s="2" t="s">
        <v>0</v>
      </c>
      <c r="L101" s="3" t="s">
        <v>687</v>
      </c>
      <c r="M101" s="2"/>
      <c r="N101" s="115"/>
      <c r="O101" s="123">
        <f>3.12*10^-35/Te^1.5*NM</f>
        <v>3.416626262549069E-16</v>
      </c>
      <c r="P101" s="145">
        <v>3.416626262549069E-16</v>
      </c>
      <c r="Q101" s="118" t="s">
        <v>1057</v>
      </c>
      <c r="R101" s="1"/>
      <c r="S101" s="1" t="s">
        <v>1049</v>
      </c>
      <c r="T101" s="1"/>
      <c r="U101" s="24" t="s">
        <v>690</v>
      </c>
      <c r="V101" s="116" t="b">
        <f>OR(B101=$V$1,D101=$V$1,B101="2"&amp;$V$1)</f>
        <v>0</v>
      </c>
      <c r="W101" s="1" t="b">
        <f>OR(J101=$W$1,L101=$W$1,N101=$W$1,J101="2"&amp;$W$1,L101="2"&amp;$W$1,N101="2"&amp;$W$1)</f>
        <v>0</v>
      </c>
      <c r="Y101" s="25" t="str">
        <f>B101&amp;" + "&amp;D101&amp;IF(F101&lt;&gt;""," + "&amp;F101,"")&amp;"-&gt;"&amp;J101&amp;" + "&amp;L101&amp;IF(N101&lt;&gt;""," + "&amp;N101,"")</f>
        <v>e + N+ + M-&gt;N + M</v>
      </c>
      <c r="Z101" s="29">
        <f>O101</f>
        <v>3.416626262549069E-16</v>
      </c>
    </row>
    <row r="102" spans="1:26" ht="22.5" hidden="1" customHeight="1" x14ac:dyDescent="0.25">
      <c r="A102" s="1" t="s">
        <v>133</v>
      </c>
      <c r="B102" s="1" t="s">
        <v>675</v>
      </c>
      <c r="C102" s="2" t="s">
        <v>0</v>
      </c>
      <c r="D102" s="1" t="s">
        <v>654</v>
      </c>
      <c r="E102" s="2"/>
      <c r="F102" s="1"/>
      <c r="G102" s="4" t="s">
        <v>7</v>
      </c>
      <c r="H102" s="112" t="s">
        <v>1557</v>
      </c>
      <c r="I102" s="4" t="s">
        <v>7</v>
      </c>
      <c r="J102" s="119" t="s">
        <v>1055</v>
      </c>
      <c r="K102" s="2" t="s">
        <v>0</v>
      </c>
      <c r="L102" s="22" t="s">
        <v>636</v>
      </c>
      <c r="M102" s="22"/>
      <c r="N102" s="125"/>
      <c r="O102" s="126">
        <f>3.4*10^-16</f>
        <v>3.4E-16</v>
      </c>
      <c r="P102" s="146">
        <v>3.4E-16</v>
      </c>
      <c r="Q102" s="118" t="s">
        <v>1093</v>
      </c>
      <c r="R102" s="1"/>
      <c r="S102" s="1" t="s">
        <v>1049</v>
      </c>
      <c r="T102" s="1"/>
      <c r="U102" s="24" t="s">
        <v>807</v>
      </c>
      <c r="V102" s="116" t="b">
        <f>OR(B102=$V$1,D102=$V$1,B102="2"&amp;$V$1)</f>
        <v>0</v>
      </c>
      <c r="W102" s="1" t="b">
        <f>OR(J102=$W$1,L102=$W$1,N102=$W$1,J102="2"&amp;$W$1,L102="2"&amp;$W$1,N102="2"&amp;$W$1)</f>
        <v>0</v>
      </c>
      <c r="Y102" s="25" t="str">
        <f>B102&amp;" + "&amp;D102&amp;IF(F102&lt;&gt;""," + "&amp;F102,"")&amp;"-&gt;"&amp;J102&amp;" + "&amp;L102&amp;IF(N102&lt;&gt;""," + "&amp;N102,"")</f>
        <v>N+ + OH-&gt;OH+ + N</v>
      </c>
      <c r="Z102" s="29">
        <f>O102</f>
        <v>3.4E-16</v>
      </c>
    </row>
    <row r="103" spans="1:26" ht="22.5" hidden="1" customHeight="1" x14ac:dyDescent="0.25">
      <c r="A103" s="1" t="s">
        <v>134</v>
      </c>
      <c r="B103" s="1" t="s">
        <v>675</v>
      </c>
      <c r="C103" s="2" t="s">
        <v>0</v>
      </c>
      <c r="D103" s="1" t="s">
        <v>654</v>
      </c>
      <c r="E103" s="2"/>
      <c r="F103" s="1"/>
      <c r="G103" s="4" t="s">
        <v>7</v>
      </c>
      <c r="H103" s="112" t="s">
        <v>1557</v>
      </c>
      <c r="I103" s="4" t="s">
        <v>7</v>
      </c>
      <c r="J103" s="119" t="s">
        <v>1264</v>
      </c>
      <c r="K103" s="2" t="s">
        <v>0</v>
      </c>
      <c r="L103" s="22" t="s">
        <v>653</v>
      </c>
      <c r="M103" s="22"/>
      <c r="N103" s="125"/>
      <c r="O103" s="126">
        <f>3.4*10^-16</f>
        <v>3.4E-16</v>
      </c>
      <c r="P103" s="146">
        <v>3.4E-16</v>
      </c>
      <c r="Q103" s="118" t="s">
        <v>1093</v>
      </c>
      <c r="R103" s="1"/>
      <c r="S103" s="1" t="s">
        <v>1049</v>
      </c>
      <c r="T103" s="1"/>
      <c r="U103" s="24" t="s">
        <v>807</v>
      </c>
      <c r="V103" s="116" t="b">
        <f>OR(B103=$V$1,D103=$V$1,B103="2"&amp;$V$1)</f>
        <v>0</v>
      </c>
      <c r="W103" s="1" t="b">
        <f>OR(J103=$W$1,L103=$W$1,N103=$W$1,J103="2"&amp;$W$1,L103="2"&amp;$W$1,N103="2"&amp;$W$1)</f>
        <v>0</v>
      </c>
      <c r="Y103" s="25" t="str">
        <f>B103&amp;" + "&amp;D103&amp;IF(F103&lt;&gt;""," + "&amp;F103,"")&amp;"-&gt;"&amp;J103&amp;" + "&amp;L103&amp;IF(N103&lt;&gt;""," + "&amp;N103,"")</f>
        <v>N+ + OH-&gt;NO+ + H</v>
      </c>
      <c r="Z103" s="29">
        <f>O103</f>
        <v>3.4E-16</v>
      </c>
    </row>
    <row r="104" spans="1:26" ht="22.5" hidden="1" customHeight="1" x14ac:dyDescent="0.25">
      <c r="A104" s="1"/>
      <c r="B104" s="1" t="s">
        <v>645</v>
      </c>
      <c r="C104" s="2" t="s">
        <v>0</v>
      </c>
      <c r="D104" s="1" t="s">
        <v>653</v>
      </c>
      <c r="E104" s="2"/>
      <c r="F104" s="1"/>
      <c r="G104" s="4" t="s">
        <v>7</v>
      </c>
      <c r="H104" s="112" t="s">
        <v>1630</v>
      </c>
      <c r="I104" s="4" t="s">
        <v>7</v>
      </c>
      <c r="J104" s="152" t="s">
        <v>636</v>
      </c>
      <c r="K104" s="2" t="s">
        <v>0</v>
      </c>
      <c r="L104" s="22" t="s">
        <v>1570</v>
      </c>
      <c r="M104" s="22"/>
      <c r="N104" s="125"/>
      <c r="O104" s="126">
        <f>3*10^-16</f>
        <v>2.9999999999999999E-16</v>
      </c>
      <c r="P104" s="146"/>
      <c r="Q104" s="118" t="s">
        <v>1076</v>
      </c>
      <c r="R104" s="1"/>
      <c r="S104" s="1"/>
      <c r="T104" s="1"/>
      <c r="U104" s="24" t="s">
        <v>756</v>
      </c>
      <c r="V104" s="116" t="b">
        <f>OR(B104=$V$1,D104=$V$1,B104="2"&amp;$V$1)</f>
        <v>0</v>
      </c>
      <c r="W104" s="1" t="b">
        <f>OR(J104=$W$1,L104=$W$1,N104=$W$1,J104="2"&amp;$W$1,L104="2"&amp;$W$1,N104="2"&amp;$W$1)</f>
        <v>0</v>
      </c>
      <c r="X104" s="25" t="s">
        <v>1607</v>
      </c>
      <c r="Y104" s="25" t="str">
        <f>B104&amp;" + "&amp;D104&amp;IF(F104&lt;&gt;""," + "&amp;F104,"")&amp;"-&gt;"&amp;J104&amp;" + "&amp;L104&amp;IF(N104&lt;&gt;""," + "&amp;N104,"")</f>
        <v>N+ + H-&gt;N + H+</v>
      </c>
      <c r="Z104" s="29">
        <f>O104</f>
        <v>2.9999999999999999E-16</v>
      </c>
    </row>
    <row r="105" spans="1:26" ht="22.5" hidden="1" customHeight="1" x14ac:dyDescent="0.25">
      <c r="A105" s="1" t="s">
        <v>125</v>
      </c>
      <c r="B105" s="1" t="s">
        <v>675</v>
      </c>
      <c r="C105" s="2" t="s">
        <v>0</v>
      </c>
      <c r="D105" s="22" t="s">
        <v>739</v>
      </c>
      <c r="E105" s="2"/>
      <c r="F105" s="3"/>
      <c r="G105" s="4" t="s">
        <v>7</v>
      </c>
      <c r="H105" s="112" t="s">
        <v>1557</v>
      </c>
      <c r="I105" s="4" t="s">
        <v>7</v>
      </c>
      <c r="J105" s="121" t="s">
        <v>1406</v>
      </c>
      <c r="K105" s="2" t="s">
        <v>0</v>
      </c>
      <c r="L105" s="22" t="s">
        <v>636</v>
      </c>
      <c r="M105" s="22"/>
      <c r="N105" s="125"/>
      <c r="O105" s="126">
        <f>3*10^-16</f>
        <v>2.9999999999999999E-16</v>
      </c>
      <c r="P105" s="146">
        <v>2.9999999999999999E-16</v>
      </c>
      <c r="Q105" s="118" t="s">
        <v>1076</v>
      </c>
      <c r="R105" s="1"/>
      <c r="S105" s="1" t="s">
        <v>1049</v>
      </c>
      <c r="T105" s="1"/>
      <c r="U105" s="24" t="s">
        <v>805</v>
      </c>
      <c r="V105" s="116" t="b">
        <f>OR(B105=$V$1,D105=$V$1,B105="2"&amp;$V$1)</f>
        <v>0</v>
      </c>
      <c r="W105" s="1" t="b">
        <f>OR(J105=$W$1,L105=$W$1,N105=$W$1,J105="2"&amp;$W$1,L105="2"&amp;$W$1,N105="2"&amp;$W$1)</f>
        <v>0</v>
      </c>
      <c r="Y105" s="25" t="str">
        <f>B105&amp;" + "&amp;D105&amp;IF(F105&lt;&gt;""," + "&amp;F105,"")&amp;"-&gt;"&amp;J105&amp;" + "&amp;L105&amp;IF(N105&lt;&gt;""," + "&amp;N105,"")</f>
        <v>N+ + NO2-&gt;NO2+ + N</v>
      </c>
      <c r="Z105" s="29">
        <f>O105</f>
        <v>2.9999999999999999E-16</v>
      </c>
    </row>
    <row r="106" spans="1:26" ht="22.5" hidden="1" customHeight="1" x14ac:dyDescent="0.25">
      <c r="A106" s="1" t="s">
        <v>131</v>
      </c>
      <c r="B106" s="1" t="s">
        <v>675</v>
      </c>
      <c r="C106" s="2" t="s">
        <v>0</v>
      </c>
      <c r="D106" s="22" t="s">
        <v>649</v>
      </c>
      <c r="E106" s="2"/>
      <c r="F106" s="1"/>
      <c r="G106" s="4" t="s">
        <v>7</v>
      </c>
      <c r="H106" s="112" t="s">
        <v>1557</v>
      </c>
      <c r="I106" s="4" t="s">
        <v>7</v>
      </c>
      <c r="J106" s="122" t="s">
        <v>1402</v>
      </c>
      <c r="K106" s="2" t="s">
        <v>0</v>
      </c>
      <c r="L106" s="22" t="s">
        <v>636</v>
      </c>
      <c r="M106" s="22"/>
      <c r="N106" s="125"/>
      <c r="O106" s="126">
        <f>2.8*10^-16</f>
        <v>2.7999999999999996E-16</v>
      </c>
      <c r="P106" s="146">
        <v>2.9999999999999999E-16</v>
      </c>
      <c r="Q106" s="118" t="s">
        <v>1127</v>
      </c>
      <c r="R106" s="1"/>
      <c r="S106" s="1" t="s">
        <v>1049</v>
      </c>
      <c r="T106" s="1"/>
      <c r="U106" s="24" t="s">
        <v>691</v>
      </c>
      <c r="V106" s="116" t="b">
        <f>OR(B106=$V$1,D106=$V$1,B106="2"&amp;$V$1)</f>
        <v>0</v>
      </c>
      <c r="W106" s="1" t="b">
        <f>OR(J106=$W$1,L106=$W$1,N106=$W$1,J106="2"&amp;$W$1,L106="2"&amp;$W$1,N106="2"&amp;$W$1)</f>
        <v>0</v>
      </c>
      <c r="X106" s="25" t="s">
        <v>1607</v>
      </c>
      <c r="Y106" s="25" t="str">
        <f>B106&amp;" + "&amp;D106&amp;IF(F106&lt;&gt;""," + "&amp;F106,"")&amp;"-&gt;"&amp;J106&amp;" + "&amp;L106&amp;IF(N106&lt;&gt;""," + "&amp;N106,"")</f>
        <v>N+ + O2-&gt;O2+ + N</v>
      </c>
      <c r="Z106" s="29">
        <f>O106</f>
        <v>2.7999999999999996E-16</v>
      </c>
    </row>
    <row r="107" spans="1:26" ht="22.5" hidden="1" customHeight="1" x14ac:dyDescent="0.25">
      <c r="A107" s="1" t="s">
        <v>119</v>
      </c>
      <c r="B107" s="1" t="s">
        <v>675</v>
      </c>
      <c r="C107" s="2" t="s">
        <v>0</v>
      </c>
      <c r="D107" s="1" t="s">
        <v>636</v>
      </c>
      <c r="E107" s="2" t="s">
        <v>0</v>
      </c>
      <c r="F107" s="1" t="s">
        <v>1566</v>
      </c>
      <c r="G107" s="4" t="s">
        <v>7</v>
      </c>
      <c r="H107" s="112" t="s">
        <v>1630</v>
      </c>
      <c r="I107" s="4" t="s">
        <v>7</v>
      </c>
      <c r="J107" s="119" t="s">
        <v>1401</v>
      </c>
      <c r="K107" s="2" t="s">
        <v>0</v>
      </c>
      <c r="L107" s="22" t="s">
        <v>1566</v>
      </c>
      <c r="M107" s="22"/>
      <c r="N107" s="125"/>
      <c r="O107" s="126">
        <f>1*10^-41*NM</f>
        <v>2.7000000000000005E-16</v>
      </c>
      <c r="P107" s="146">
        <v>2.7000000000000005E-16</v>
      </c>
      <c r="Q107" s="118" t="s">
        <v>1090</v>
      </c>
      <c r="R107" s="1"/>
      <c r="S107" s="1" t="s">
        <v>1049</v>
      </c>
      <c r="T107" s="1"/>
      <c r="U107" s="24" t="s">
        <v>691</v>
      </c>
      <c r="V107" s="116" t="b">
        <f>OR(B107=$V$1,D107=$V$1,B107="2"&amp;$V$1)</f>
        <v>0</v>
      </c>
      <c r="W107" s="1" t="b">
        <f>OR(J107=$W$1,L107=$W$1,N107=$W$1,J107="2"&amp;$W$1,L107="2"&amp;$W$1,N107="2"&amp;$W$1)</f>
        <v>0</v>
      </c>
      <c r="X107" s="25" t="s">
        <v>1607</v>
      </c>
      <c r="Y107" s="25" t="str">
        <f>B107&amp;" + "&amp;D107&amp;IF(F107&lt;&gt;""," + "&amp;F107,"")&amp;"-&gt;"&amp;J107&amp;" + "&amp;L107&amp;IF(N107&lt;&gt;""," + "&amp;N107,"")</f>
        <v>N+ + N + O2-&gt;N2+ + O2</v>
      </c>
      <c r="Z107" s="29">
        <f>O107</f>
        <v>2.7000000000000005E-16</v>
      </c>
    </row>
    <row r="108" spans="1:26" ht="22.5" hidden="1" customHeight="1" x14ac:dyDescent="0.25">
      <c r="A108" s="1" t="s">
        <v>137</v>
      </c>
      <c r="B108" s="1" t="s">
        <v>1384</v>
      </c>
      <c r="C108" s="2" t="s">
        <v>0</v>
      </c>
      <c r="D108" s="1" t="s">
        <v>636</v>
      </c>
      <c r="E108" s="2"/>
      <c r="F108" s="1"/>
      <c r="G108" s="4" t="s">
        <v>7</v>
      </c>
      <c r="H108" s="112" t="s">
        <v>1557</v>
      </c>
      <c r="I108" s="4" t="s">
        <v>7</v>
      </c>
      <c r="J108" s="119" t="s">
        <v>645</v>
      </c>
      <c r="K108" s="2" t="s">
        <v>0</v>
      </c>
      <c r="L108" s="22" t="s">
        <v>689</v>
      </c>
      <c r="M108" s="22"/>
      <c r="N108" s="125"/>
      <c r="O108" s="126">
        <f>7.2*10^-19*(Teff/300)</f>
        <v>7.2720000000000007E-19</v>
      </c>
      <c r="P108" s="146">
        <v>1.0000000000000001E-18</v>
      </c>
      <c r="Q108" s="118" t="s">
        <v>1626</v>
      </c>
      <c r="R108" s="1"/>
      <c r="S108" s="1" t="s">
        <v>1049</v>
      </c>
      <c r="T108" s="1"/>
      <c r="U108" s="24" t="s">
        <v>691</v>
      </c>
      <c r="V108" s="116" t="b">
        <f>OR(B108=$V$1,D108=$V$1,B108="2"&amp;$V$1)</f>
        <v>0</v>
      </c>
      <c r="W108" s="1" t="b">
        <f>OR(J108=$W$1,L108=$W$1,N108=$W$1,J108="2"&amp;$W$1,L108="2"&amp;$W$1,N108="2"&amp;$W$1)</f>
        <v>0</v>
      </c>
      <c r="X108" s="25" t="s">
        <v>1607</v>
      </c>
      <c r="Y108" s="25" t="str">
        <f>B108&amp;" + "&amp;D108&amp;IF(F108&lt;&gt;""," + "&amp;F108,"")&amp;"-&gt;"&amp;J108&amp;" + "&amp;L108&amp;IF(N108&lt;&gt;""," + "&amp;N108,"")</f>
        <v>N2+ + N-&gt;N+ + N2</v>
      </c>
      <c r="Z108" s="29">
        <f>O108</f>
        <v>7.2720000000000007E-19</v>
      </c>
    </row>
    <row r="109" spans="1:26" ht="22.5" hidden="1" customHeight="1" x14ac:dyDescent="0.25">
      <c r="A109" s="1" t="s">
        <v>138</v>
      </c>
      <c r="B109" s="1" t="s">
        <v>1384</v>
      </c>
      <c r="C109" s="2" t="s">
        <v>0</v>
      </c>
      <c r="D109" s="1" t="s">
        <v>636</v>
      </c>
      <c r="E109" s="4" t="s">
        <v>0</v>
      </c>
      <c r="F109" s="22" t="s">
        <v>3</v>
      </c>
      <c r="G109" s="4" t="s">
        <v>7</v>
      </c>
      <c r="H109" s="112" t="s">
        <v>1630</v>
      </c>
      <c r="I109" s="4" t="s">
        <v>7</v>
      </c>
      <c r="J109" s="119" t="s">
        <v>1403</v>
      </c>
      <c r="K109" s="2" t="s">
        <v>0</v>
      </c>
      <c r="L109" s="22" t="s">
        <v>3</v>
      </c>
      <c r="M109" s="22"/>
      <c r="N109" s="125"/>
      <c r="O109" s="126">
        <f>9*10^-42*(400/Teff)*NM</f>
        <v>3.2079207920792079E-16</v>
      </c>
      <c r="P109" s="146">
        <v>2.6732673267326738E-16</v>
      </c>
      <c r="Q109" s="118" t="s">
        <v>1642</v>
      </c>
      <c r="R109" s="1"/>
      <c r="S109" s="1" t="s">
        <v>1049</v>
      </c>
      <c r="T109" s="1"/>
      <c r="U109" s="24" t="s">
        <v>691</v>
      </c>
      <c r="V109" s="116" t="b">
        <f>OR(B109=$V$1,D109=$V$1,B109="2"&amp;$V$1)</f>
        <v>0</v>
      </c>
      <c r="W109" s="1" t="b">
        <f>OR(J109=$W$1,L109=$W$1,N109=$W$1,J109="2"&amp;$W$1,L109="2"&amp;$W$1,N109="2"&amp;$W$1)</f>
        <v>0</v>
      </c>
      <c r="X109" s="25" t="s">
        <v>1607</v>
      </c>
      <c r="Y109" s="25" t="str">
        <f>B109&amp;" + "&amp;D109&amp;IF(F109&lt;&gt;""," + "&amp;F109,"")&amp;"-&gt;"&amp;J109&amp;" + "&amp;L109&amp;IF(N109&lt;&gt;""," + "&amp;N109,"")</f>
        <v>N2+ + N + N2-&gt;N3+ + N2</v>
      </c>
      <c r="Z109" s="29">
        <f>O109</f>
        <v>3.2079207920792079E-16</v>
      </c>
    </row>
    <row r="110" spans="1:26" ht="22.5" hidden="1" customHeight="1" x14ac:dyDescent="0.25">
      <c r="A110" s="1" t="s">
        <v>139</v>
      </c>
      <c r="B110" s="1" t="s">
        <v>1384</v>
      </c>
      <c r="C110" s="2" t="s">
        <v>0</v>
      </c>
      <c r="D110" s="1" t="s">
        <v>689</v>
      </c>
      <c r="E110" s="2" t="s">
        <v>0</v>
      </c>
      <c r="F110" s="22" t="s">
        <v>3</v>
      </c>
      <c r="G110" s="4" t="s">
        <v>7</v>
      </c>
      <c r="H110" s="112" t="s">
        <v>1630</v>
      </c>
      <c r="I110" s="4" t="s">
        <v>7</v>
      </c>
      <c r="J110" s="119" t="s">
        <v>1405</v>
      </c>
      <c r="K110" s="2" t="s">
        <v>0</v>
      </c>
      <c r="L110" s="22" t="s">
        <v>3</v>
      </c>
      <c r="M110" s="2"/>
      <c r="N110" s="125"/>
      <c r="O110" s="126">
        <f>5.2*10^-41*(300/Teff)^2.2*NM</f>
        <v>1.3735993779317564E-15</v>
      </c>
      <c r="P110" s="146">
        <v>2.6732673267326738E-16</v>
      </c>
      <c r="Q110" s="118" t="s">
        <v>1641</v>
      </c>
      <c r="R110" s="1"/>
      <c r="S110" s="1" t="s">
        <v>1049</v>
      </c>
      <c r="T110" s="1"/>
      <c r="U110" s="24" t="s">
        <v>691</v>
      </c>
      <c r="V110" s="116" t="b">
        <f>OR(B110=$V$1,D110=$V$1,B110="2"&amp;$V$1)</f>
        <v>0</v>
      </c>
      <c r="W110" s="1" t="b">
        <f>OR(J110=$W$1,L110=$W$1,N110=$W$1,J110="2"&amp;$W$1,L110="2"&amp;$W$1,N110="2"&amp;$W$1)</f>
        <v>0</v>
      </c>
      <c r="X110" s="25" t="s">
        <v>1607</v>
      </c>
      <c r="Y110" s="25" t="str">
        <f>B110&amp;" + "&amp;D110&amp;IF(F110&lt;&gt;""," + "&amp;F110,"")&amp;"-&gt;"&amp;J110&amp;" + "&amp;L110&amp;IF(N110&lt;&gt;""," + "&amp;N110,"")</f>
        <v>N2+ + N2 + N2-&gt;N4+ + N2</v>
      </c>
      <c r="Z110" s="29">
        <f>O110</f>
        <v>1.3735993779317564E-15</v>
      </c>
    </row>
    <row r="111" spans="1:26" ht="22.5" hidden="1" customHeight="1" x14ac:dyDescent="0.25">
      <c r="A111" s="1" t="s">
        <v>140</v>
      </c>
      <c r="B111" s="1" t="s">
        <v>1384</v>
      </c>
      <c r="C111" s="2" t="s">
        <v>0</v>
      </c>
      <c r="D111" s="22" t="s">
        <v>1488</v>
      </c>
      <c r="E111" s="2"/>
      <c r="F111" s="22"/>
      <c r="G111" s="4" t="s">
        <v>7</v>
      </c>
      <c r="H111" s="112" t="s">
        <v>1557</v>
      </c>
      <c r="I111" s="4" t="s">
        <v>7</v>
      </c>
      <c r="J111" s="119" t="s">
        <v>1403</v>
      </c>
      <c r="K111" s="2" t="s">
        <v>0</v>
      </c>
      <c r="L111" s="22" t="s">
        <v>636</v>
      </c>
      <c r="M111" s="2"/>
      <c r="N111" s="125"/>
      <c r="O111" s="126">
        <f>3*10^-16</f>
        <v>2.9999999999999999E-16</v>
      </c>
      <c r="P111" s="146">
        <v>2.9999999999999999E-16</v>
      </c>
      <c r="Q111" s="118" t="s">
        <v>1076</v>
      </c>
      <c r="R111" s="1"/>
      <c r="S111" s="1" t="s">
        <v>1049</v>
      </c>
      <c r="T111" s="1"/>
      <c r="U111" s="24" t="s">
        <v>690</v>
      </c>
      <c r="V111" s="116" t="b">
        <f>OR(B111=$V$1,D111=$V$1,B111="2"&amp;$V$1)</f>
        <v>0</v>
      </c>
      <c r="W111" s="1" t="b">
        <f>OR(J111=$W$1,L111=$W$1,N111=$W$1,J111="2"&amp;$W$1,L111="2"&amp;$W$1,N111="2"&amp;$W$1)</f>
        <v>0</v>
      </c>
      <c r="Y111" s="25" t="str">
        <f>B111&amp;" + "&amp;D111&amp;IF(F111&lt;&gt;""," + "&amp;F111,"")&amp;"-&gt;"&amp;J111&amp;" + "&amp;L111&amp;IF(N111&lt;&gt;""," + "&amp;N111,"")</f>
        <v>N2+ + N2(A3)-&gt;N3+ + N</v>
      </c>
      <c r="Z111" s="29">
        <f>O111</f>
        <v>2.9999999999999999E-16</v>
      </c>
    </row>
    <row r="112" spans="1:26" ht="22.5" hidden="1" customHeight="1" x14ac:dyDescent="0.25">
      <c r="A112" s="1" t="s">
        <v>141</v>
      </c>
      <c r="B112" s="1" t="s">
        <v>1384</v>
      </c>
      <c r="C112" s="2" t="s">
        <v>0</v>
      </c>
      <c r="D112" s="22" t="s">
        <v>784</v>
      </c>
      <c r="E112" s="2"/>
      <c r="F112" s="22"/>
      <c r="G112" s="4" t="s">
        <v>7</v>
      </c>
      <c r="H112" s="112" t="s">
        <v>1557</v>
      </c>
      <c r="I112" s="4" t="s">
        <v>7</v>
      </c>
      <c r="J112" s="124" t="s">
        <v>1265</v>
      </c>
      <c r="K112" s="2" t="s">
        <v>0</v>
      </c>
      <c r="L112" s="1" t="s">
        <v>689</v>
      </c>
      <c r="M112" s="2"/>
      <c r="N112" s="125"/>
      <c r="O112" s="126">
        <f>5*10^-16</f>
        <v>5.0000000000000004E-16</v>
      </c>
      <c r="P112" s="146">
        <v>5.9999999999999999E-16</v>
      </c>
      <c r="Q112" s="118" t="s">
        <v>1078</v>
      </c>
      <c r="R112" s="1"/>
      <c r="S112" s="1" t="s">
        <v>1049</v>
      </c>
      <c r="T112" s="1"/>
      <c r="U112" s="24" t="s">
        <v>691</v>
      </c>
      <c r="V112" s="116" t="b">
        <f>OR(B112=$V$1,D112=$V$1,B112="2"&amp;$V$1)</f>
        <v>0</v>
      </c>
      <c r="W112" s="1" t="b">
        <f>OR(J112=$W$1,L112=$W$1,N112=$W$1,J112="2"&amp;$W$1,L112="2"&amp;$W$1,N112="2"&amp;$W$1)</f>
        <v>0</v>
      </c>
      <c r="X112" s="25" t="s">
        <v>1607</v>
      </c>
      <c r="Y112" s="25" t="str">
        <f>B112&amp;" + "&amp;D112&amp;IF(F112&lt;&gt;""," + "&amp;F112,"")&amp;"-&gt;"&amp;J112&amp;" + "&amp;L112&amp;IF(N112&lt;&gt;""," + "&amp;N112,"")</f>
        <v>N2+ + N2O-&gt;N2O+ + N2</v>
      </c>
      <c r="Z112" s="29">
        <f>O112</f>
        <v>5.0000000000000004E-16</v>
      </c>
    </row>
    <row r="113" spans="1:26" ht="22.5" hidden="1" customHeight="1" x14ac:dyDescent="0.25">
      <c r="A113" s="1" t="s">
        <v>142</v>
      </c>
      <c r="B113" s="1" t="s">
        <v>1384</v>
      </c>
      <c r="C113" s="2" t="s">
        <v>0</v>
      </c>
      <c r="D113" s="22" t="s">
        <v>784</v>
      </c>
      <c r="E113" s="2"/>
      <c r="F113" s="22"/>
      <c r="G113" s="4" t="s">
        <v>7</v>
      </c>
      <c r="H113" s="112" t="s">
        <v>1557</v>
      </c>
      <c r="I113" s="4" t="s">
        <v>7</v>
      </c>
      <c r="J113" s="119" t="s">
        <v>1264</v>
      </c>
      <c r="K113" s="2" t="s">
        <v>0</v>
      </c>
      <c r="L113" s="22" t="s">
        <v>636</v>
      </c>
      <c r="M113" s="2" t="s">
        <v>0</v>
      </c>
      <c r="N113" s="128" t="s">
        <v>689</v>
      </c>
      <c r="O113" s="123">
        <f>4*10^-16</f>
        <v>3.9999999999999999E-16</v>
      </c>
      <c r="P113" s="145">
        <v>3.9999999999999999E-16</v>
      </c>
      <c r="Q113" s="118" t="s">
        <v>1096</v>
      </c>
      <c r="R113" s="1"/>
      <c r="S113" s="1" t="s">
        <v>1049</v>
      </c>
      <c r="T113" s="1"/>
      <c r="U113" s="24" t="s">
        <v>691</v>
      </c>
      <c r="V113" s="116" t="b">
        <f>OR(B113=$V$1,D113=$V$1,B113="2"&amp;$V$1)</f>
        <v>0</v>
      </c>
      <c r="W113" s="1" t="b">
        <f>OR(J113=$W$1,L113=$W$1,N113=$W$1,J113="2"&amp;$W$1,L113="2"&amp;$W$1,N113="2"&amp;$W$1)</f>
        <v>0</v>
      </c>
      <c r="X113" s="25" t="s">
        <v>1607</v>
      </c>
      <c r="Y113" s="25" t="str">
        <f>B113&amp;" + "&amp;D113&amp;IF(F113&lt;&gt;""," + "&amp;F113,"")&amp;"-&gt;"&amp;J113&amp;" + "&amp;L113&amp;IF(N113&lt;&gt;""," + "&amp;N113,"")</f>
        <v>N2+ + N2O-&gt;NO+ + N + N2</v>
      </c>
      <c r="Z113" s="29">
        <f>O113</f>
        <v>3.9999999999999999E-16</v>
      </c>
    </row>
    <row r="114" spans="1:26" ht="22.5" hidden="1" customHeight="1" x14ac:dyDescent="0.25">
      <c r="A114" s="1" t="s">
        <v>143</v>
      </c>
      <c r="B114" s="1" t="s">
        <v>1384</v>
      </c>
      <c r="C114" s="2" t="s">
        <v>0</v>
      </c>
      <c r="D114" s="22" t="s">
        <v>688</v>
      </c>
      <c r="E114" s="2"/>
      <c r="F114" s="22"/>
      <c r="G114" s="4" t="s">
        <v>7</v>
      </c>
      <c r="H114" s="112" t="s">
        <v>1557</v>
      </c>
      <c r="I114" s="4" t="s">
        <v>7</v>
      </c>
      <c r="J114" s="119" t="s">
        <v>1264</v>
      </c>
      <c r="K114" s="2" t="s">
        <v>0</v>
      </c>
      <c r="L114" s="1" t="s">
        <v>689</v>
      </c>
      <c r="M114" s="2"/>
      <c r="N114" s="125"/>
      <c r="O114" s="126">
        <f>3.3*10^-16</f>
        <v>3.2999999999999999E-16</v>
      </c>
      <c r="P114" s="146">
        <v>3.8999999999999998E-16</v>
      </c>
      <c r="Q114" s="118" t="s">
        <v>1116</v>
      </c>
      <c r="R114" s="1"/>
      <c r="S114" s="1" t="s">
        <v>1049</v>
      </c>
      <c r="T114" s="1"/>
      <c r="U114" s="24" t="s">
        <v>691</v>
      </c>
      <c r="V114" s="116" t="b">
        <f>OR(B114=$V$1,D114=$V$1,B114="2"&amp;$V$1)</f>
        <v>0</v>
      </c>
      <c r="W114" s="1" t="b">
        <f>OR(J114=$W$1,L114=$W$1,N114=$W$1,J114="2"&amp;$W$1,L114="2"&amp;$W$1,N114="2"&amp;$W$1)</f>
        <v>0</v>
      </c>
      <c r="X114" s="25" t="s">
        <v>1607</v>
      </c>
      <c r="Y114" s="25" t="str">
        <f>B114&amp;" + "&amp;D114&amp;IF(F114&lt;&gt;""," + "&amp;F114,"")&amp;"-&gt;"&amp;J114&amp;" + "&amp;L114&amp;IF(N114&lt;&gt;""," + "&amp;N114,"")</f>
        <v>N2+ + NO-&gt;NO+ + N2</v>
      </c>
      <c r="Z114" s="29">
        <f>O114</f>
        <v>3.2999999999999999E-16</v>
      </c>
    </row>
    <row r="115" spans="1:26" ht="22.5" hidden="1" customHeight="1" x14ac:dyDescent="0.25">
      <c r="A115" s="1" t="s">
        <v>144</v>
      </c>
      <c r="B115" s="1" t="s">
        <v>1384</v>
      </c>
      <c r="C115" s="2" t="s">
        <v>0</v>
      </c>
      <c r="D115" s="22" t="s">
        <v>739</v>
      </c>
      <c r="E115" s="2"/>
      <c r="F115" s="22"/>
      <c r="G115" s="4" t="s">
        <v>7</v>
      </c>
      <c r="H115" s="112" t="s">
        <v>1557</v>
      </c>
      <c r="I115" s="4" t="s">
        <v>7</v>
      </c>
      <c r="J115" s="119" t="s">
        <v>1264</v>
      </c>
      <c r="K115" s="2" t="s">
        <v>0</v>
      </c>
      <c r="L115" s="22" t="s">
        <v>784</v>
      </c>
      <c r="M115" s="2"/>
      <c r="N115" s="125"/>
      <c r="O115" s="126">
        <f>5*10^-17</f>
        <v>5.0000000000000005E-17</v>
      </c>
      <c r="P115" s="146">
        <v>5.0000000000000005E-17</v>
      </c>
      <c r="Q115" s="118" t="s">
        <v>1097</v>
      </c>
      <c r="R115" s="1"/>
      <c r="S115" s="1" t="s">
        <v>1049</v>
      </c>
      <c r="T115" s="1"/>
      <c r="U115" s="24" t="s">
        <v>1031</v>
      </c>
      <c r="V115" s="116" t="b">
        <f>OR(B115=$V$1,D115=$V$1,B115="2"&amp;$V$1)</f>
        <v>0</v>
      </c>
      <c r="W115" s="1" t="b">
        <f>OR(J115=$W$1,L115=$W$1,N115=$W$1,J115="2"&amp;$W$1,L115="2"&amp;$W$1,N115="2"&amp;$W$1)</f>
        <v>0</v>
      </c>
      <c r="Y115" s="25" t="str">
        <f>B115&amp;" + "&amp;D115&amp;IF(F115&lt;&gt;""," + "&amp;F115,"")&amp;"-&gt;"&amp;J115&amp;" + "&amp;L115&amp;IF(N115&lt;&gt;""," + "&amp;N115,"")</f>
        <v>N2+ + NO2-&gt;NO+ + N2O</v>
      </c>
      <c r="Z115" s="29">
        <f>O115</f>
        <v>5.0000000000000005E-17</v>
      </c>
    </row>
    <row r="116" spans="1:26" ht="22.5" hidden="1" customHeight="1" x14ac:dyDescent="0.25">
      <c r="A116" s="1" t="s">
        <v>145</v>
      </c>
      <c r="B116" s="1" t="s">
        <v>1384</v>
      </c>
      <c r="C116" s="2" t="s">
        <v>0</v>
      </c>
      <c r="D116" s="22" t="s">
        <v>739</v>
      </c>
      <c r="E116" s="2"/>
      <c r="F116" s="22"/>
      <c r="G116" s="4" t="s">
        <v>7</v>
      </c>
      <c r="H116" s="112" t="s">
        <v>1557</v>
      </c>
      <c r="I116" s="4" t="s">
        <v>7</v>
      </c>
      <c r="J116" s="121" t="s">
        <v>1406</v>
      </c>
      <c r="K116" s="2" t="s">
        <v>0</v>
      </c>
      <c r="L116" s="1" t="s">
        <v>689</v>
      </c>
      <c r="M116" s="2"/>
      <c r="N116" s="125"/>
      <c r="O116" s="126">
        <f>3*10^-16</f>
        <v>2.9999999999999999E-16</v>
      </c>
      <c r="P116" s="146">
        <v>2.9999999999999999E-16</v>
      </c>
      <c r="Q116" s="118" t="s">
        <v>1078</v>
      </c>
      <c r="R116" s="1"/>
      <c r="S116" s="1" t="s">
        <v>1049</v>
      </c>
      <c r="T116" s="1"/>
      <c r="U116" s="24" t="s">
        <v>1032</v>
      </c>
      <c r="V116" s="116" t="b">
        <f>OR(B116=$V$1,D116=$V$1,B116="2"&amp;$V$1)</f>
        <v>0</v>
      </c>
      <c r="W116" s="1" t="b">
        <f>OR(J116=$W$1,L116=$W$1,N116=$W$1,J116="2"&amp;$W$1,L116="2"&amp;$W$1,N116="2"&amp;$W$1)</f>
        <v>0</v>
      </c>
      <c r="Y116" s="25" t="str">
        <f>B116&amp;" + "&amp;D116&amp;IF(F116&lt;&gt;""," + "&amp;F116,"")&amp;"-&gt;"&amp;J116&amp;" + "&amp;L116&amp;IF(N116&lt;&gt;""," + "&amp;N116,"")</f>
        <v>N2+ + NO2-&gt;NO2+ + N2</v>
      </c>
      <c r="Z116" s="29">
        <f>O116</f>
        <v>2.9999999999999999E-16</v>
      </c>
    </row>
    <row r="117" spans="1:26" ht="22.5" hidden="1" customHeight="1" x14ac:dyDescent="0.25">
      <c r="A117" s="1" t="s">
        <v>225</v>
      </c>
      <c r="B117" s="1" t="s">
        <v>1395</v>
      </c>
      <c r="C117" s="2" t="s">
        <v>0</v>
      </c>
      <c r="D117" s="22" t="s">
        <v>639</v>
      </c>
      <c r="E117" s="2"/>
      <c r="F117" s="22"/>
      <c r="G117" s="4" t="s">
        <v>7</v>
      </c>
      <c r="H117" s="112" t="s">
        <v>1557</v>
      </c>
      <c r="I117" s="4" t="s">
        <v>7</v>
      </c>
      <c r="J117" s="124" t="s">
        <v>1333</v>
      </c>
      <c r="K117" s="2" t="s">
        <v>0</v>
      </c>
      <c r="L117" s="22" t="s">
        <v>1413</v>
      </c>
      <c r="M117" s="2"/>
      <c r="N117" s="125"/>
      <c r="O117" s="123">
        <f>3*10^-16</f>
        <v>2.9999999999999999E-16</v>
      </c>
      <c r="P117" s="145">
        <v>2.9999999999999999E-16</v>
      </c>
      <c r="Q117" s="118" t="s">
        <v>1076</v>
      </c>
      <c r="R117" s="1"/>
      <c r="S117" s="1" t="s">
        <v>1049</v>
      </c>
      <c r="T117" s="1"/>
      <c r="U117" s="24" t="s">
        <v>691</v>
      </c>
      <c r="V117" s="116" t="b">
        <f>OR(B117=$V$1,D117=$V$1,B117="2"&amp;$V$1)</f>
        <v>0</v>
      </c>
      <c r="W117" s="1" t="b">
        <f>OR(J117=$W$1,L117=$W$1,N117=$W$1,J117="2"&amp;$W$1,L117="2"&amp;$W$1,N117="2"&amp;$W$1)</f>
        <v>0</v>
      </c>
      <c r="X117" s="25" t="s">
        <v>1607</v>
      </c>
      <c r="Y117" s="25" t="str">
        <f>B117&amp;" + "&amp;D117&amp;IF(F117&lt;&gt;""," + "&amp;F117,"")&amp;"-&gt;"&amp;J117&amp;" + "&amp;L117&amp;IF(N117&lt;&gt;""," + "&amp;N117,"")</f>
        <v>O4- + O-&gt;O- + 2O2</v>
      </c>
      <c r="Z117" s="29">
        <f>O117</f>
        <v>2.9999999999999999E-16</v>
      </c>
    </row>
    <row r="118" spans="1:26" ht="22.5" hidden="1" customHeight="1" x14ac:dyDescent="0.25">
      <c r="A118" s="1" t="s">
        <v>242</v>
      </c>
      <c r="B118" s="1" t="s">
        <v>1320</v>
      </c>
      <c r="C118" s="2" t="s">
        <v>0</v>
      </c>
      <c r="D118" s="22" t="s">
        <v>639</v>
      </c>
      <c r="E118" s="2"/>
      <c r="F118" s="22"/>
      <c r="G118" s="4" t="s">
        <v>7</v>
      </c>
      <c r="H118" s="112" t="s">
        <v>1557</v>
      </c>
      <c r="I118" s="4" t="s">
        <v>7</v>
      </c>
      <c r="J118" s="124" t="s">
        <v>1333</v>
      </c>
      <c r="K118" s="2" t="s">
        <v>0</v>
      </c>
      <c r="L118" s="22" t="s">
        <v>688</v>
      </c>
      <c r="M118" s="2"/>
      <c r="N118" s="125"/>
      <c r="O118" s="126">
        <f>3*10^-16</f>
        <v>2.9999999999999999E-16</v>
      </c>
      <c r="P118" s="146">
        <v>2.9999999999999999E-16</v>
      </c>
      <c r="Q118" s="118" t="s">
        <v>1076</v>
      </c>
      <c r="R118" s="1"/>
      <c r="S118" s="1" t="s">
        <v>1049</v>
      </c>
      <c r="T118" s="1"/>
      <c r="U118" s="24" t="s">
        <v>756</v>
      </c>
      <c r="V118" s="116" t="b">
        <f>OR(B118=$V$1,D118=$V$1,B118="2"&amp;$V$1)</f>
        <v>0</v>
      </c>
      <c r="W118" s="1" t="b">
        <f>OR(J118=$W$1,L118=$W$1,N118=$W$1,J118="2"&amp;$W$1,L118="2"&amp;$W$1,N118="2"&amp;$W$1)</f>
        <v>0</v>
      </c>
      <c r="X118" s="25" t="s">
        <v>1607</v>
      </c>
      <c r="Y118" s="25" t="str">
        <f>B118&amp;" + "&amp;D118&amp;IF(F118&lt;&gt;""," + "&amp;F118,"")&amp;"-&gt;"&amp;J118&amp;" + "&amp;L118&amp;IF(N118&lt;&gt;""," + "&amp;N118,"")</f>
        <v>NO- + O-&gt;O- + NO</v>
      </c>
      <c r="Z118" s="29">
        <f>O118</f>
        <v>2.9999999999999999E-16</v>
      </c>
    </row>
    <row r="119" spans="1:26" ht="22.5" hidden="1" customHeight="1" x14ac:dyDescent="0.25">
      <c r="A119" s="1" t="s">
        <v>173</v>
      </c>
      <c r="B119" s="1" t="s">
        <v>678</v>
      </c>
      <c r="C119" s="2" t="s">
        <v>0</v>
      </c>
      <c r="D119" s="22" t="s">
        <v>639</v>
      </c>
      <c r="E119" s="2" t="s">
        <v>0</v>
      </c>
      <c r="F119" s="22" t="s">
        <v>3</v>
      </c>
      <c r="G119" s="4" t="s">
        <v>7</v>
      </c>
      <c r="H119" s="112" t="s">
        <v>1630</v>
      </c>
      <c r="I119" s="4" t="s">
        <v>7</v>
      </c>
      <c r="J119" s="122" t="s">
        <v>1402</v>
      </c>
      <c r="K119" s="2" t="s">
        <v>0</v>
      </c>
      <c r="L119" s="22" t="s">
        <v>3</v>
      </c>
      <c r="M119" s="2"/>
      <c r="N119" s="125"/>
      <c r="O119" s="126">
        <f>1*10^-41*NM</f>
        <v>2.7000000000000005E-16</v>
      </c>
      <c r="P119" s="146">
        <v>2.7000000000000005E-16</v>
      </c>
      <c r="Q119" s="118" t="s">
        <v>1090</v>
      </c>
      <c r="R119" s="1"/>
      <c r="S119" s="1" t="s">
        <v>1049</v>
      </c>
      <c r="T119" s="1"/>
      <c r="U119" s="24" t="s">
        <v>691</v>
      </c>
      <c r="V119" s="116" t="b">
        <f>OR(B119=$V$1,D119=$V$1,B119="2"&amp;$V$1)</f>
        <v>0</v>
      </c>
      <c r="W119" s="1" t="b">
        <f>OR(J119=$W$1,L119=$W$1,N119=$W$1,J119="2"&amp;$W$1,L119="2"&amp;$W$1,N119="2"&amp;$W$1)</f>
        <v>0</v>
      </c>
      <c r="X119" s="25" t="s">
        <v>1607</v>
      </c>
      <c r="Y119" s="25" t="str">
        <f>B119&amp;" + "&amp;D119&amp;IF(F119&lt;&gt;""," + "&amp;F119,"")&amp;"-&gt;"&amp;J119&amp;" + "&amp;L119&amp;IF(N119&lt;&gt;""," + "&amp;N119,"")</f>
        <v>O+ + O + N2-&gt;O2+ + N2</v>
      </c>
      <c r="Z119" s="29">
        <f>O119</f>
        <v>2.7000000000000005E-16</v>
      </c>
    </row>
    <row r="120" spans="1:26" ht="22.5" hidden="1" customHeight="1" x14ac:dyDescent="0.25">
      <c r="A120" s="1" t="s">
        <v>149</v>
      </c>
      <c r="B120" s="1" t="s">
        <v>1384</v>
      </c>
      <c r="C120" s="2" t="s">
        <v>0</v>
      </c>
      <c r="D120" s="22" t="s">
        <v>649</v>
      </c>
      <c r="E120" s="2"/>
      <c r="F120" s="22"/>
      <c r="G120" s="4" t="s">
        <v>7</v>
      </c>
      <c r="H120" s="112" t="s">
        <v>1557</v>
      </c>
      <c r="I120" s="4" t="s">
        <v>7</v>
      </c>
      <c r="J120" s="122" t="s">
        <v>1402</v>
      </c>
      <c r="K120" s="2" t="s">
        <v>0</v>
      </c>
      <c r="L120" s="1" t="s">
        <v>689</v>
      </c>
      <c r="M120" s="2"/>
      <c r="N120" s="125"/>
      <c r="O120" s="126">
        <f>3.9*10^-16*EXP(-Tg/143)</f>
        <v>4.6864741870358763E-17</v>
      </c>
      <c r="P120" s="146">
        <v>5.0000000000000005E-17</v>
      </c>
      <c r="Q120" s="118" t="s">
        <v>1658</v>
      </c>
      <c r="R120" s="1"/>
      <c r="S120" s="1" t="s">
        <v>1049</v>
      </c>
      <c r="T120" s="1"/>
      <c r="U120" s="24" t="s">
        <v>756</v>
      </c>
      <c r="V120" s="116" t="b">
        <f>OR(B120=$V$1,D120=$V$1,B120="2"&amp;$V$1)</f>
        <v>0</v>
      </c>
      <c r="W120" s="1" t="b">
        <f>OR(J120=$W$1,L120=$W$1,N120=$W$1,J120="2"&amp;$W$1,L120="2"&amp;$W$1,N120="2"&amp;$W$1)</f>
        <v>0</v>
      </c>
      <c r="X120" s="25" t="s">
        <v>1607</v>
      </c>
      <c r="Y120" s="25" t="str">
        <f>B120&amp;" + "&amp;D120&amp;IF(F120&lt;&gt;""," + "&amp;F120,"")&amp;"-&gt;"&amp;J120&amp;" + "&amp;L120&amp;IF(N120&lt;&gt;""," + "&amp;N120,"")</f>
        <v>N2+ + O2-&gt;O2+ + N2</v>
      </c>
      <c r="Z120" s="29">
        <f>O120</f>
        <v>4.6864741870358763E-17</v>
      </c>
    </row>
    <row r="121" spans="1:26" ht="22.5" hidden="1" customHeight="1" x14ac:dyDescent="0.25">
      <c r="A121" s="1"/>
      <c r="B121" s="1" t="s">
        <v>831</v>
      </c>
      <c r="C121" s="2" t="s">
        <v>0</v>
      </c>
      <c r="D121" s="22" t="s">
        <v>640</v>
      </c>
      <c r="E121" s="2"/>
      <c r="F121" s="22"/>
      <c r="G121" s="4" t="s">
        <v>7</v>
      </c>
      <c r="H121" s="112" t="s">
        <v>1557</v>
      </c>
      <c r="I121" s="4" t="s">
        <v>7</v>
      </c>
      <c r="J121" s="150" t="s">
        <v>835</v>
      </c>
      <c r="K121" s="2" t="s">
        <v>0</v>
      </c>
      <c r="L121" s="1" t="s">
        <v>3</v>
      </c>
      <c r="M121" s="2"/>
      <c r="N121" s="125"/>
      <c r="O121" s="126">
        <f>4*10^-16</f>
        <v>3.9999999999999999E-16</v>
      </c>
      <c r="P121" s="146"/>
      <c r="Q121" s="118" t="s">
        <v>1635</v>
      </c>
      <c r="R121" s="1"/>
      <c r="S121" s="1"/>
      <c r="T121" s="1"/>
      <c r="U121" s="24" t="s">
        <v>756</v>
      </c>
      <c r="V121" s="116" t="b">
        <f>OR(B121=$V$1,D121=$V$1,B121="2"&amp;$V$1)</f>
        <v>0</v>
      </c>
      <c r="W121" s="1" t="b">
        <f>OR(J121=$W$1,L121=$W$1,N121=$W$1,J121="2"&amp;$W$1,L121="2"&amp;$W$1,N121="2"&amp;$W$1)</f>
        <v>0</v>
      </c>
      <c r="X121" s="25" t="s">
        <v>1607</v>
      </c>
      <c r="Y121" s="25" t="str">
        <f>B121&amp;" + "&amp;D121&amp;IF(F121&lt;&gt;""," + "&amp;F121,"")&amp;"-&gt;"&amp;J121&amp;" + "&amp;L121&amp;IF(N121&lt;&gt;""," + "&amp;N121,"")</f>
        <v>N2+ + H2-&gt;H2+ + N2</v>
      </c>
      <c r="Z121" s="29">
        <f>O121</f>
        <v>3.9999999999999999E-16</v>
      </c>
    </row>
    <row r="122" spans="1:26" ht="22.5" hidden="1" customHeight="1" x14ac:dyDescent="0.25">
      <c r="A122" s="1"/>
      <c r="B122" s="1" t="s">
        <v>831</v>
      </c>
      <c r="C122" s="2" t="s">
        <v>0</v>
      </c>
      <c r="D122" s="22" t="s">
        <v>654</v>
      </c>
      <c r="E122" s="2"/>
      <c r="F122" s="22"/>
      <c r="G122" s="4" t="s">
        <v>7</v>
      </c>
      <c r="H122" s="112" t="s">
        <v>1557</v>
      </c>
      <c r="I122" s="4" t="s">
        <v>7</v>
      </c>
      <c r="J122" s="150" t="s">
        <v>652</v>
      </c>
      <c r="K122" s="2" t="s">
        <v>0</v>
      </c>
      <c r="L122" s="1" t="s">
        <v>3</v>
      </c>
      <c r="M122" s="2"/>
      <c r="N122" s="125"/>
      <c r="O122" s="126">
        <f>4.6*10^-16</f>
        <v>4.5999999999999998E-16</v>
      </c>
      <c r="P122" s="146"/>
      <c r="Q122" s="118" t="s">
        <v>1121</v>
      </c>
      <c r="R122" s="1"/>
      <c r="S122" s="1"/>
      <c r="T122" s="1"/>
      <c r="U122" s="24" t="s">
        <v>756</v>
      </c>
      <c r="V122" s="116" t="b">
        <f>OR(B122=$V$1,D122=$V$1,B122="2"&amp;$V$1)</f>
        <v>0</v>
      </c>
      <c r="W122" s="1" t="b">
        <f>OR(J122=$W$1,L122=$W$1,N122=$W$1,J122="2"&amp;$W$1,L122="2"&amp;$W$1,N122="2"&amp;$W$1)</f>
        <v>0</v>
      </c>
      <c r="X122" s="25" t="s">
        <v>1607</v>
      </c>
      <c r="Y122" s="25" t="str">
        <f>B122&amp;" + "&amp;D122&amp;IF(F122&lt;&gt;""," + "&amp;F122,"")&amp;"-&gt;"&amp;J122&amp;" + "&amp;L122&amp;IF(N122&lt;&gt;""," + "&amp;N122,"")</f>
        <v>N2+ + OH-&gt;OH+ + N2</v>
      </c>
      <c r="Z122" s="29">
        <f>O122</f>
        <v>4.5999999999999998E-16</v>
      </c>
    </row>
    <row r="123" spans="1:26" ht="22.5" hidden="1" customHeight="1" x14ac:dyDescent="0.25">
      <c r="A123" s="1"/>
      <c r="B123" s="1" t="s">
        <v>831</v>
      </c>
      <c r="C123" s="2" t="s">
        <v>0</v>
      </c>
      <c r="D123" s="22" t="s">
        <v>653</v>
      </c>
      <c r="E123" s="2"/>
      <c r="F123" s="22"/>
      <c r="G123" s="4" t="s">
        <v>7</v>
      </c>
      <c r="H123" s="112" t="s">
        <v>1557</v>
      </c>
      <c r="I123" s="4" t="s">
        <v>7</v>
      </c>
      <c r="J123" s="150" t="s">
        <v>685</v>
      </c>
      <c r="K123" s="2" t="s">
        <v>0</v>
      </c>
      <c r="L123" s="1" t="s">
        <v>3</v>
      </c>
      <c r="M123" s="2"/>
      <c r="N123" s="125"/>
      <c r="O123" s="126">
        <f>2.5*10^-16</f>
        <v>2.5000000000000002E-16</v>
      </c>
      <c r="P123" s="146"/>
      <c r="Q123" s="118" t="s">
        <v>1107</v>
      </c>
      <c r="R123" s="1"/>
      <c r="S123" s="1"/>
      <c r="T123" s="1"/>
      <c r="U123" s="24" t="s">
        <v>756</v>
      </c>
      <c r="V123" s="116" t="b">
        <f>OR(B123=$V$1,D123=$V$1,B123="2"&amp;$V$1)</f>
        <v>0</v>
      </c>
      <c r="W123" s="1" t="b">
        <f>OR(J123=$W$1,L123=$W$1,N123=$W$1,J123="2"&amp;$W$1,L123="2"&amp;$W$1,N123="2"&amp;$W$1)</f>
        <v>0</v>
      </c>
      <c r="X123" s="25" t="s">
        <v>1607</v>
      </c>
      <c r="Y123" s="25" t="str">
        <f>B123&amp;" + "&amp;D123&amp;IF(F123&lt;&gt;""," + "&amp;F123,"")&amp;"-&gt;"&amp;J123&amp;" + "&amp;L123&amp;IF(N123&lt;&gt;""," + "&amp;N123,"")</f>
        <v>N2+ + H-&gt;H+ + N2</v>
      </c>
      <c r="Z123" s="29">
        <f>O123</f>
        <v>2.5000000000000002E-16</v>
      </c>
    </row>
    <row r="124" spans="1:26" ht="22.5" hidden="1" customHeight="1" x14ac:dyDescent="0.25">
      <c r="A124" s="1" t="s">
        <v>150</v>
      </c>
      <c r="B124" s="1" t="s">
        <v>1384</v>
      </c>
      <c r="C124" s="2" t="s">
        <v>0</v>
      </c>
      <c r="D124" s="22" t="s">
        <v>723</v>
      </c>
      <c r="E124" s="2"/>
      <c r="F124" s="22"/>
      <c r="G124" s="4" t="s">
        <v>7</v>
      </c>
      <c r="H124" s="112" t="s">
        <v>1557</v>
      </c>
      <c r="I124" s="4" t="s">
        <v>7</v>
      </c>
      <c r="J124" s="122" t="s">
        <v>1402</v>
      </c>
      <c r="K124" s="2" t="s">
        <v>0</v>
      </c>
      <c r="L124" s="22" t="s">
        <v>639</v>
      </c>
      <c r="M124" s="2" t="s">
        <v>0</v>
      </c>
      <c r="N124" s="128" t="s">
        <v>689</v>
      </c>
      <c r="O124" s="123">
        <f>1*10^-16</f>
        <v>9.9999999999999998E-17</v>
      </c>
      <c r="P124" s="145">
        <v>9.9999999999999998E-17</v>
      </c>
      <c r="Q124" s="118" t="s">
        <v>1101</v>
      </c>
      <c r="R124" s="1"/>
      <c r="S124" s="1" t="s">
        <v>1049</v>
      </c>
      <c r="T124" s="1"/>
      <c r="U124" s="24" t="s">
        <v>691</v>
      </c>
      <c r="V124" s="116" t="b">
        <f>OR(B124=$V$1,D124=$V$1,B124="2"&amp;$V$1)</f>
        <v>0</v>
      </c>
      <c r="W124" s="1" t="b">
        <f>OR(J124=$W$1,L124=$W$1,N124=$W$1,J124="2"&amp;$W$1,L124="2"&amp;$W$1,N124="2"&amp;$W$1)</f>
        <v>0</v>
      </c>
      <c r="X124" s="25" t="s">
        <v>1607</v>
      </c>
      <c r="Y124" s="25" t="str">
        <f>B124&amp;" + "&amp;D124&amp;IF(F124&lt;&gt;""," + "&amp;F124,"")&amp;"-&gt;"&amp;J124&amp;" + "&amp;L124&amp;IF(N124&lt;&gt;""," + "&amp;N124,"")</f>
        <v>N2+ + O3-&gt;O2+ + O + N2</v>
      </c>
      <c r="Z124" s="29">
        <f>O124</f>
        <v>9.9999999999999998E-17</v>
      </c>
    </row>
    <row r="125" spans="1:26" ht="22.5" hidden="1" customHeight="1" x14ac:dyDescent="0.25">
      <c r="A125" s="1" t="s">
        <v>151</v>
      </c>
      <c r="B125" s="1" t="s">
        <v>1384</v>
      </c>
      <c r="C125" s="2" t="s">
        <v>0</v>
      </c>
      <c r="D125" s="3" t="s">
        <v>641</v>
      </c>
      <c r="E125" s="2"/>
      <c r="F125" s="22"/>
      <c r="G125" s="4" t="s">
        <v>7</v>
      </c>
      <c r="H125" s="112" t="s">
        <v>1557</v>
      </c>
      <c r="I125" s="4" t="s">
        <v>7</v>
      </c>
      <c r="J125" s="124" t="s">
        <v>1256</v>
      </c>
      <c r="K125" s="2" t="s">
        <v>0</v>
      </c>
      <c r="L125" s="1" t="s">
        <v>689</v>
      </c>
      <c r="M125" s="2"/>
      <c r="N125" s="125"/>
      <c r="O125" s="126">
        <f>2.3*10^-15</f>
        <v>2.2999999999999999E-15</v>
      </c>
      <c r="P125" s="146">
        <v>2.2999999999999999E-15</v>
      </c>
      <c r="Q125" s="118" t="s">
        <v>1102</v>
      </c>
      <c r="R125" s="1"/>
      <c r="S125" s="1" t="s">
        <v>1049</v>
      </c>
      <c r="T125" s="1"/>
      <c r="U125" s="24" t="s">
        <v>691</v>
      </c>
      <c r="V125" s="116" t="b">
        <f>OR(B125=$V$1,D125=$V$1,B125="2"&amp;$V$1)</f>
        <v>0</v>
      </c>
      <c r="W125" s="1" t="b">
        <f>OR(J125=$W$1,L125=$W$1,N125=$W$1,J125="2"&amp;$W$1,L125="2"&amp;$W$1,N125="2"&amp;$W$1)</f>
        <v>0</v>
      </c>
      <c r="X125" s="25" t="s">
        <v>1607</v>
      </c>
      <c r="Y125" s="25" t="str">
        <f>B125&amp;" + "&amp;D125&amp;IF(F125&lt;&gt;""," + "&amp;F125,"")&amp;"-&gt;"&amp;J125&amp;" + "&amp;L125&amp;IF(N125&lt;&gt;""," + "&amp;N125,"")</f>
        <v>N2+ + H2O-&gt;H2O+ + N2</v>
      </c>
      <c r="Z125" s="29">
        <f>O125</f>
        <v>2.2999999999999999E-15</v>
      </c>
    </row>
    <row r="126" spans="1:26" ht="22.5" hidden="1" customHeight="1" x14ac:dyDescent="0.25">
      <c r="A126" s="1" t="s">
        <v>152</v>
      </c>
      <c r="B126" s="1" t="s">
        <v>1385</v>
      </c>
      <c r="C126" s="2" t="s">
        <v>0</v>
      </c>
      <c r="D126" s="22" t="s">
        <v>636</v>
      </c>
      <c r="E126" s="2"/>
      <c r="F126" s="22"/>
      <c r="G126" s="4" t="s">
        <v>7</v>
      </c>
      <c r="H126" s="112" t="s">
        <v>1557</v>
      </c>
      <c r="I126" s="4" t="s">
        <v>7</v>
      </c>
      <c r="J126" s="119" t="s">
        <v>1401</v>
      </c>
      <c r="K126" s="2" t="s">
        <v>0</v>
      </c>
      <c r="L126" s="1" t="s">
        <v>689</v>
      </c>
      <c r="M126" s="2"/>
      <c r="N126" s="125"/>
      <c r="O126" s="126">
        <f>6.6*10^-17</f>
        <v>6.6E-17</v>
      </c>
      <c r="P126" s="146">
        <v>6.6E-17</v>
      </c>
      <c r="Q126" s="118" t="s">
        <v>1103</v>
      </c>
      <c r="R126" s="1"/>
      <c r="S126" s="1" t="s">
        <v>1049</v>
      </c>
      <c r="T126" s="1"/>
      <c r="U126" s="24" t="s">
        <v>691</v>
      </c>
      <c r="V126" s="116" t="b">
        <f>OR(B126=$V$1,D126=$V$1,B126="2"&amp;$V$1)</f>
        <v>0</v>
      </c>
      <c r="W126" s="1" t="b">
        <f>OR(J126=$W$1,L126=$W$1,N126=$W$1,J126="2"&amp;$W$1,L126="2"&amp;$W$1,N126="2"&amp;$W$1)</f>
        <v>0</v>
      </c>
      <c r="X126" s="25" t="s">
        <v>1607</v>
      </c>
      <c r="Y126" s="25" t="str">
        <f>B126&amp;" + "&amp;D126&amp;IF(F126&lt;&gt;""," + "&amp;F126,"")&amp;"-&gt;"&amp;J126&amp;" + "&amp;L126&amp;IF(N126&lt;&gt;""," + "&amp;N126,"")</f>
        <v>N3+ + N-&gt;N2+ + N2</v>
      </c>
      <c r="Z126" s="29">
        <f>O126</f>
        <v>6.6E-17</v>
      </c>
    </row>
    <row r="127" spans="1:26" ht="22.5" hidden="1" customHeight="1" x14ac:dyDescent="0.25">
      <c r="A127" s="1" t="s">
        <v>153</v>
      </c>
      <c r="B127" s="1" t="s">
        <v>1385</v>
      </c>
      <c r="C127" s="2" t="s">
        <v>0</v>
      </c>
      <c r="D127" s="22" t="s">
        <v>649</v>
      </c>
      <c r="E127" s="2"/>
      <c r="F127" s="22"/>
      <c r="G127" s="4" t="s">
        <v>7</v>
      </c>
      <c r="H127" s="112" t="s">
        <v>1557</v>
      </c>
      <c r="I127" s="4" t="s">
        <v>7</v>
      </c>
      <c r="J127" s="122" t="s">
        <v>1402</v>
      </c>
      <c r="K127" s="2" t="s">
        <v>0</v>
      </c>
      <c r="L127" s="22" t="s">
        <v>636</v>
      </c>
      <c r="M127" s="2" t="s">
        <v>0</v>
      </c>
      <c r="N127" s="128" t="s">
        <v>689</v>
      </c>
      <c r="O127" s="123">
        <f>2.3*10^-17</f>
        <v>2.3000000000000001E-17</v>
      </c>
      <c r="P127" s="145">
        <v>2.3000000000000001E-17</v>
      </c>
      <c r="Q127" s="118" t="s">
        <v>1083</v>
      </c>
      <c r="R127" s="1"/>
      <c r="S127" s="1" t="s">
        <v>1049</v>
      </c>
      <c r="T127" s="1"/>
      <c r="U127" s="24" t="s">
        <v>691</v>
      </c>
      <c r="V127" s="116" t="b">
        <f>OR(B127=$V$1,D127=$V$1,B127="2"&amp;$V$1)</f>
        <v>0</v>
      </c>
      <c r="W127" s="1" t="b">
        <f>OR(J127=$W$1,L127=$W$1,N127=$W$1,J127="2"&amp;$W$1,L127="2"&amp;$W$1,N127="2"&amp;$W$1)</f>
        <v>0</v>
      </c>
      <c r="X127" s="25" t="s">
        <v>1607</v>
      </c>
      <c r="Y127" s="25" t="str">
        <f>B127&amp;" + "&amp;D127&amp;IF(F127&lt;&gt;""," + "&amp;F127,"")&amp;"-&gt;"&amp;J127&amp;" + "&amp;L127&amp;IF(N127&lt;&gt;""," + "&amp;N127,"")</f>
        <v>N3+ + O2-&gt;O2+ + N + N2</v>
      </c>
      <c r="Z127" s="29">
        <f>O127</f>
        <v>2.3000000000000001E-17</v>
      </c>
    </row>
    <row r="128" spans="1:26" ht="22.5" hidden="1" customHeight="1" x14ac:dyDescent="0.25">
      <c r="A128" s="1" t="s">
        <v>155</v>
      </c>
      <c r="B128" s="1" t="s">
        <v>1385</v>
      </c>
      <c r="C128" s="2" t="s">
        <v>0</v>
      </c>
      <c r="D128" s="22" t="s">
        <v>649</v>
      </c>
      <c r="E128" s="2"/>
      <c r="F128" s="22"/>
      <c r="G128" s="4" t="s">
        <v>7</v>
      </c>
      <c r="H128" s="112" t="s">
        <v>1557</v>
      </c>
      <c r="I128" s="4" t="s">
        <v>7</v>
      </c>
      <c r="J128" s="121" t="s">
        <v>1406</v>
      </c>
      <c r="K128" s="2" t="s">
        <v>0</v>
      </c>
      <c r="L128" s="1" t="s">
        <v>689</v>
      </c>
      <c r="M128" s="2"/>
      <c r="N128" s="125"/>
      <c r="O128" s="126">
        <f>4.4*10^-17</f>
        <v>4.4000000000000006E-17</v>
      </c>
      <c r="P128" s="146">
        <v>4.4000000000000006E-17</v>
      </c>
      <c r="Q128" s="118" t="s">
        <v>1105</v>
      </c>
      <c r="R128" s="1"/>
      <c r="S128" s="1" t="s">
        <v>1049</v>
      </c>
      <c r="T128" s="1"/>
      <c r="U128" s="24" t="s">
        <v>691</v>
      </c>
      <c r="V128" s="116" t="b">
        <f>OR(B128=$V$1,D128=$V$1,B128="2"&amp;$V$1)</f>
        <v>0</v>
      </c>
      <c r="W128" s="1" t="b">
        <f>OR(J128=$W$1,L128=$W$1,N128=$W$1,J128="2"&amp;$W$1,L128="2"&amp;$W$1,N128="2"&amp;$W$1)</f>
        <v>0</v>
      </c>
      <c r="X128" s="25" t="s">
        <v>1607</v>
      </c>
      <c r="Y128" s="25" t="str">
        <f>B128&amp;" + "&amp;D128&amp;IF(F128&lt;&gt;""," + "&amp;F128,"")&amp;"-&gt;"&amp;J128&amp;" + "&amp;L128&amp;IF(N128&lt;&gt;""," + "&amp;N128,"")</f>
        <v>N3+ + O2-&gt;NO2+ + N2</v>
      </c>
      <c r="Z128" s="29">
        <f>O128</f>
        <v>4.4000000000000006E-17</v>
      </c>
    </row>
    <row r="129" spans="1:26" ht="22.5" hidden="1" customHeight="1" x14ac:dyDescent="0.25">
      <c r="A129" s="1" t="s">
        <v>156</v>
      </c>
      <c r="B129" s="1" t="s">
        <v>1385</v>
      </c>
      <c r="C129" s="2" t="s">
        <v>0</v>
      </c>
      <c r="D129" s="22" t="s">
        <v>688</v>
      </c>
      <c r="E129" s="2"/>
      <c r="F129" s="22"/>
      <c r="G129" s="4" t="s">
        <v>7</v>
      </c>
      <c r="H129" s="112" t="s">
        <v>1557</v>
      </c>
      <c r="I129" s="4" t="s">
        <v>7</v>
      </c>
      <c r="J129" s="151" t="s">
        <v>698</v>
      </c>
      <c r="K129" s="2" t="s">
        <v>0</v>
      </c>
      <c r="L129" s="1" t="s">
        <v>689</v>
      </c>
      <c r="M129" s="2" t="s">
        <v>0</v>
      </c>
      <c r="N129" s="125" t="s">
        <v>636</v>
      </c>
      <c r="O129" s="126">
        <f>7*10^-17</f>
        <v>7.0000000000000003E-17</v>
      </c>
      <c r="P129" s="146">
        <v>7.0000000000000003E-17</v>
      </c>
      <c r="Q129" s="118" t="s">
        <v>1106</v>
      </c>
      <c r="R129" s="1"/>
      <c r="S129" s="1" t="s">
        <v>1049</v>
      </c>
      <c r="T129" s="1"/>
      <c r="U129" s="24" t="s">
        <v>691</v>
      </c>
      <c r="V129" s="116" t="b">
        <f>OR(B129=$V$1,D129=$V$1,B129="2"&amp;$V$1)</f>
        <v>0</v>
      </c>
      <c r="W129" s="1" t="b">
        <f>OR(J129=$W$1,L129=$W$1,N129=$W$1,J129="2"&amp;$W$1,L129="2"&amp;$W$1,N129="2"&amp;$W$1)</f>
        <v>0</v>
      </c>
      <c r="X129" s="25" t="s">
        <v>1607</v>
      </c>
      <c r="Y129" s="25" t="str">
        <f>B129&amp;" + "&amp;D129&amp;IF(F129&lt;&gt;""," + "&amp;F129,"")&amp;"-&gt;"&amp;J129&amp;" + "&amp;L129&amp;IF(N129&lt;&gt;""," + "&amp;N129,"")</f>
        <v>N3+ + NO-&gt;NO+ + N2 + N</v>
      </c>
      <c r="Z129" s="29">
        <f>O129</f>
        <v>7.0000000000000003E-17</v>
      </c>
    </row>
    <row r="130" spans="1:26" ht="22.5" hidden="1" customHeight="1" x14ac:dyDescent="0.25">
      <c r="A130" s="1" t="s">
        <v>157</v>
      </c>
      <c r="B130" s="1" t="s">
        <v>1385</v>
      </c>
      <c r="C130" s="2" t="s">
        <v>0</v>
      </c>
      <c r="D130" s="22" t="s">
        <v>688</v>
      </c>
      <c r="E130" s="2"/>
      <c r="F130" s="22"/>
      <c r="G130" s="4" t="s">
        <v>7</v>
      </c>
      <c r="H130" s="112" t="s">
        <v>1557</v>
      </c>
      <c r="I130" s="4" t="s">
        <v>7</v>
      </c>
      <c r="J130" s="124" t="s">
        <v>1265</v>
      </c>
      <c r="K130" s="2" t="s">
        <v>0</v>
      </c>
      <c r="L130" s="1" t="s">
        <v>689</v>
      </c>
      <c r="M130" s="2"/>
      <c r="N130" s="125"/>
      <c r="O130" s="126">
        <f>7*10^-17</f>
        <v>7.0000000000000003E-17</v>
      </c>
      <c r="P130" s="146">
        <v>7.0000000000000003E-17</v>
      </c>
      <c r="Q130" s="118" t="s">
        <v>1106</v>
      </c>
      <c r="R130" s="1"/>
      <c r="S130" s="1" t="s">
        <v>1049</v>
      </c>
      <c r="T130" s="1"/>
      <c r="U130" s="24" t="s">
        <v>691</v>
      </c>
      <c r="V130" s="116" t="b">
        <f>OR(B130=$V$1,D130=$V$1,B130="2"&amp;$V$1)</f>
        <v>0</v>
      </c>
      <c r="W130" s="1" t="b">
        <f>OR(J130=$W$1,L130=$W$1,N130=$W$1,J130="2"&amp;$W$1,L130="2"&amp;$W$1,N130="2"&amp;$W$1)</f>
        <v>0</v>
      </c>
      <c r="X130" s="25" t="s">
        <v>1607</v>
      </c>
      <c r="Y130" s="25" t="str">
        <f>B130&amp;" + "&amp;D130&amp;IF(F130&lt;&gt;""," + "&amp;F130,"")&amp;"-&gt;"&amp;J130&amp;" + "&amp;L130&amp;IF(N130&lt;&gt;""," + "&amp;N130,"")</f>
        <v>N3+ + NO-&gt;N2O+ + N2</v>
      </c>
      <c r="Z130" s="29">
        <f>O130</f>
        <v>7.0000000000000003E-17</v>
      </c>
    </row>
    <row r="131" spans="1:26" ht="22.5" hidden="1" customHeight="1" x14ac:dyDescent="0.25">
      <c r="A131" s="1" t="s">
        <v>158</v>
      </c>
      <c r="B131" s="1" t="s">
        <v>1385</v>
      </c>
      <c r="C131" s="2" t="s">
        <v>0</v>
      </c>
      <c r="D131" s="22" t="s">
        <v>784</v>
      </c>
      <c r="E131" s="2"/>
      <c r="F131" s="22"/>
      <c r="G131" s="4" t="s">
        <v>7</v>
      </c>
      <c r="H131" s="112" t="s">
        <v>1557</v>
      </c>
      <c r="I131" s="4" t="s">
        <v>7</v>
      </c>
      <c r="J131" s="119" t="s">
        <v>1264</v>
      </c>
      <c r="K131" s="2" t="s">
        <v>0</v>
      </c>
      <c r="L131" s="1" t="s">
        <v>1410</v>
      </c>
      <c r="M131" s="2"/>
      <c r="N131" s="128"/>
      <c r="O131" s="123">
        <f>5*10^-17</f>
        <v>5.0000000000000005E-17</v>
      </c>
      <c r="P131" s="145">
        <v>5.0000000000000005E-17</v>
      </c>
      <c r="Q131" s="118" t="s">
        <v>1100</v>
      </c>
      <c r="R131" s="1"/>
      <c r="S131" s="1" t="s">
        <v>1049</v>
      </c>
      <c r="T131" s="1"/>
      <c r="U131" s="24" t="s">
        <v>1031</v>
      </c>
      <c r="V131" s="116" t="b">
        <f>OR(B131=$V$1,D131=$V$1,B131="2"&amp;$V$1)</f>
        <v>0</v>
      </c>
      <c r="W131" s="1" t="b">
        <f>OR(J131=$W$1,L131=$W$1,N131=$W$1,J131="2"&amp;$W$1,L131="2"&amp;$W$1,N131="2"&amp;$W$1)</f>
        <v>0</v>
      </c>
      <c r="Y131" s="25" t="str">
        <f>B131&amp;" + "&amp;D131&amp;IF(F131&lt;&gt;""," + "&amp;F131,"")&amp;"-&gt;"&amp;J131&amp;" + "&amp;L131&amp;IF(N131&lt;&gt;""," + "&amp;N131,"")</f>
        <v>N3+ + N2O-&gt;NO+ + 2N2</v>
      </c>
      <c r="Z131" s="29">
        <f>O131</f>
        <v>5.0000000000000005E-17</v>
      </c>
    </row>
    <row r="132" spans="1:26" ht="22.5" hidden="1" customHeight="1" x14ac:dyDescent="0.25">
      <c r="A132" s="1" t="s">
        <v>159</v>
      </c>
      <c r="B132" s="1" t="s">
        <v>1385</v>
      </c>
      <c r="C132" s="2" t="s">
        <v>0</v>
      </c>
      <c r="D132" s="22" t="s">
        <v>739</v>
      </c>
      <c r="E132" s="2"/>
      <c r="F132" s="22"/>
      <c r="G132" s="4" t="s">
        <v>7</v>
      </c>
      <c r="H132" s="112" t="s">
        <v>1557</v>
      </c>
      <c r="I132" s="4" t="s">
        <v>7</v>
      </c>
      <c r="J132" s="119" t="s">
        <v>1264</v>
      </c>
      <c r="K132" s="2" t="s">
        <v>0</v>
      </c>
      <c r="L132" s="22" t="s">
        <v>688</v>
      </c>
      <c r="M132" s="2" t="s">
        <v>0</v>
      </c>
      <c r="N132" s="128" t="s">
        <v>689</v>
      </c>
      <c r="O132" s="123">
        <f>7*10^-17</f>
        <v>7.0000000000000003E-17</v>
      </c>
      <c r="P132" s="145">
        <v>7.0000000000000003E-17</v>
      </c>
      <c r="Q132" s="118" t="s">
        <v>1106</v>
      </c>
      <c r="R132" s="1"/>
      <c r="S132" s="1" t="s">
        <v>1049</v>
      </c>
      <c r="T132" s="1"/>
      <c r="U132" s="24" t="s">
        <v>1031</v>
      </c>
      <c r="V132" s="116" t="b">
        <f>OR(B132=$V$1,D132=$V$1,B132="2"&amp;$V$1)</f>
        <v>0</v>
      </c>
      <c r="W132" s="1" t="b">
        <f>OR(J132=$W$1,L132=$W$1,N132=$W$1,J132="2"&amp;$W$1,L132="2"&amp;$W$1,N132="2"&amp;$W$1)</f>
        <v>0</v>
      </c>
      <c r="Y132" s="25" t="str">
        <f>B132&amp;" + "&amp;D132&amp;IF(F132&lt;&gt;""," + "&amp;F132,"")&amp;"-&gt;"&amp;J132&amp;" + "&amp;L132&amp;IF(N132&lt;&gt;""," + "&amp;N132,"")</f>
        <v>N3+ + NO2-&gt;NO+ + NO + N2</v>
      </c>
      <c r="Z132" s="29">
        <f>O132</f>
        <v>7.0000000000000003E-17</v>
      </c>
    </row>
    <row r="133" spans="1:26" ht="22.5" hidden="1" customHeight="1" x14ac:dyDescent="0.25">
      <c r="A133" s="1" t="s">
        <v>160</v>
      </c>
      <c r="B133" s="1" t="s">
        <v>1385</v>
      </c>
      <c r="C133" s="2" t="s">
        <v>0</v>
      </c>
      <c r="D133" s="22" t="s">
        <v>739</v>
      </c>
      <c r="E133" s="2"/>
      <c r="F133" s="22"/>
      <c r="G133" s="4" t="s">
        <v>7</v>
      </c>
      <c r="H133" s="112" t="s">
        <v>1557</v>
      </c>
      <c r="I133" s="4" t="s">
        <v>7</v>
      </c>
      <c r="J133" s="121" t="s">
        <v>1406</v>
      </c>
      <c r="K133" s="2" t="s">
        <v>0</v>
      </c>
      <c r="L133" s="22" t="s">
        <v>636</v>
      </c>
      <c r="M133" s="2" t="s">
        <v>0</v>
      </c>
      <c r="N133" s="128" t="s">
        <v>689</v>
      </c>
      <c r="O133" s="123">
        <f>7*10^-17</f>
        <v>7.0000000000000003E-17</v>
      </c>
      <c r="P133" s="145">
        <v>7.0000000000000003E-17</v>
      </c>
      <c r="Q133" s="118" t="s">
        <v>1106</v>
      </c>
      <c r="R133" s="1"/>
      <c r="S133" s="1" t="s">
        <v>1049</v>
      </c>
      <c r="T133" s="1"/>
      <c r="U133" s="24" t="s">
        <v>1031</v>
      </c>
      <c r="V133" s="116" t="b">
        <f>OR(B133=$V$1,D133=$V$1,B133="2"&amp;$V$1)</f>
        <v>0</v>
      </c>
      <c r="W133" s="1" t="b">
        <f>OR(J133=$W$1,L133=$W$1,N133=$W$1,J133="2"&amp;$W$1,L133="2"&amp;$W$1,N133="2"&amp;$W$1)</f>
        <v>0</v>
      </c>
      <c r="Y133" s="25" t="str">
        <f>B133&amp;" + "&amp;D133&amp;IF(F133&lt;&gt;""," + "&amp;F133,"")&amp;"-&gt;"&amp;J133&amp;" + "&amp;L133&amp;IF(N133&lt;&gt;""," + "&amp;N133,"")</f>
        <v>N3+ + NO2-&gt;NO2+ + N + N2</v>
      </c>
      <c r="Z133" s="29">
        <f>O133</f>
        <v>7.0000000000000003E-17</v>
      </c>
    </row>
    <row r="134" spans="1:26" ht="22.5" hidden="1" customHeight="1" x14ac:dyDescent="0.25">
      <c r="A134" s="1" t="s">
        <v>161</v>
      </c>
      <c r="B134" s="1" t="s">
        <v>1386</v>
      </c>
      <c r="C134" s="2" t="s">
        <v>0</v>
      </c>
      <c r="D134" s="22" t="s">
        <v>689</v>
      </c>
      <c r="E134" s="2"/>
      <c r="F134" s="22"/>
      <c r="G134" s="4" t="s">
        <v>7</v>
      </c>
      <c r="H134" s="112" t="s">
        <v>1557</v>
      </c>
      <c r="I134" s="4" t="s">
        <v>7</v>
      </c>
      <c r="J134" s="119" t="s">
        <v>1401</v>
      </c>
      <c r="K134" s="2" t="s">
        <v>0</v>
      </c>
      <c r="L134" s="1" t="s">
        <v>1410</v>
      </c>
      <c r="M134" s="2"/>
      <c r="N134" s="128"/>
      <c r="O134" s="123">
        <f>2.1*10^-28*EXP(Tg/121)</f>
        <v>2.5689171896519273E-27</v>
      </c>
      <c r="P134" s="145">
        <v>2.568917189651927E-15</v>
      </c>
      <c r="Q134" s="118" t="s">
        <v>1634</v>
      </c>
      <c r="R134" s="1"/>
      <c r="S134" s="1" t="s">
        <v>1049</v>
      </c>
      <c r="T134" s="1"/>
      <c r="U134" s="24" t="s">
        <v>691</v>
      </c>
      <c r="V134" s="116" t="b">
        <f>OR(B134=$V$1,D134=$V$1,B134="2"&amp;$V$1)</f>
        <v>0</v>
      </c>
      <c r="W134" s="1" t="b">
        <f>OR(J134=$W$1,L134=$W$1,N134=$W$1,J134="2"&amp;$W$1,L134="2"&amp;$W$1,N134="2"&amp;$W$1)</f>
        <v>0</v>
      </c>
      <c r="X134" s="25" t="s">
        <v>1607</v>
      </c>
      <c r="Y134" s="25" t="str">
        <f>B134&amp;" + "&amp;D134&amp;IF(F134&lt;&gt;""," + "&amp;F134,"")&amp;"-&gt;"&amp;J134&amp;" + "&amp;L134&amp;IF(N134&lt;&gt;""," + "&amp;N134,"")</f>
        <v>N4+ + N2-&gt;N2+ + 2N2</v>
      </c>
      <c r="Z134" s="29">
        <f>O134</f>
        <v>2.5689171896519273E-27</v>
      </c>
    </row>
    <row r="135" spans="1:26" ht="22.5" hidden="1" customHeight="1" x14ac:dyDescent="0.25">
      <c r="A135" s="1" t="s">
        <v>162</v>
      </c>
      <c r="B135" s="1" t="s">
        <v>1386</v>
      </c>
      <c r="C135" s="2" t="s">
        <v>0</v>
      </c>
      <c r="D135" s="22" t="s">
        <v>784</v>
      </c>
      <c r="E135" s="2"/>
      <c r="F135" s="22"/>
      <c r="G135" s="4" t="s">
        <v>7</v>
      </c>
      <c r="H135" s="112" t="s">
        <v>1557</v>
      </c>
      <c r="I135" s="4" t="s">
        <v>7</v>
      </c>
      <c r="J135" s="119" t="s">
        <v>1265</v>
      </c>
      <c r="K135" s="2" t="s">
        <v>0</v>
      </c>
      <c r="L135" s="1" t="s">
        <v>1410</v>
      </c>
      <c r="M135" s="2"/>
      <c r="N135" s="128"/>
      <c r="O135" s="123">
        <f>3*10^-16</f>
        <v>2.9999999999999999E-16</v>
      </c>
      <c r="P135" s="145">
        <v>2.9999999999999999E-16</v>
      </c>
      <c r="Q135" s="118" t="s">
        <v>1076</v>
      </c>
      <c r="R135" s="1"/>
      <c r="S135" s="1" t="s">
        <v>1049</v>
      </c>
      <c r="T135" s="1"/>
      <c r="U135" s="24" t="s">
        <v>756</v>
      </c>
      <c r="V135" s="116" t="b">
        <f>OR(B135=$V$1,D135=$V$1,B135="2"&amp;$V$1)</f>
        <v>0</v>
      </c>
      <c r="W135" s="1" t="b">
        <f>OR(J135=$W$1,L135=$W$1,N135=$W$1,J135="2"&amp;$W$1,L135="2"&amp;$W$1,N135="2"&amp;$W$1)</f>
        <v>0</v>
      </c>
      <c r="X135" s="25" t="s">
        <v>1607</v>
      </c>
      <c r="Y135" s="25" t="str">
        <f>B135&amp;" + "&amp;D135&amp;IF(F135&lt;&gt;""," + "&amp;F135,"")&amp;"-&gt;"&amp;J135&amp;" + "&amp;L135&amp;IF(N135&lt;&gt;""," + "&amp;N135,"")</f>
        <v>N4+ + N2O-&gt;N2O+ + 2N2</v>
      </c>
      <c r="Z135" s="29">
        <f>O135</f>
        <v>2.9999999999999999E-16</v>
      </c>
    </row>
    <row r="136" spans="1:26" ht="22.5" hidden="1" customHeight="1" x14ac:dyDescent="0.25">
      <c r="A136" s="1" t="s">
        <v>163</v>
      </c>
      <c r="B136" s="1" t="s">
        <v>1386</v>
      </c>
      <c r="C136" s="2" t="s">
        <v>0</v>
      </c>
      <c r="D136" s="22" t="s">
        <v>636</v>
      </c>
      <c r="E136" s="2"/>
      <c r="F136" s="22"/>
      <c r="G136" s="4" t="s">
        <v>7</v>
      </c>
      <c r="H136" s="112" t="s">
        <v>1557</v>
      </c>
      <c r="I136" s="4" t="s">
        <v>7</v>
      </c>
      <c r="J136" s="119" t="s">
        <v>645</v>
      </c>
      <c r="K136" s="2" t="s">
        <v>0</v>
      </c>
      <c r="L136" s="1" t="s">
        <v>1410</v>
      </c>
      <c r="M136" s="2"/>
      <c r="N136" s="128"/>
      <c r="O136" s="123">
        <f>1*10^-17</f>
        <v>1.0000000000000001E-17</v>
      </c>
      <c r="P136" s="145">
        <v>1.0000000000000001E-17</v>
      </c>
      <c r="Q136" s="118" t="s">
        <v>1065</v>
      </c>
      <c r="R136" s="1"/>
      <c r="S136" s="1" t="s">
        <v>1049</v>
      </c>
      <c r="T136" s="1"/>
      <c r="U136" s="24" t="s">
        <v>691</v>
      </c>
      <c r="V136" s="116" t="b">
        <f>OR(B136=$V$1,D136=$V$1,B136="2"&amp;$V$1)</f>
        <v>0</v>
      </c>
      <c r="W136" s="1" t="b">
        <f>OR(J136=$W$1,L136=$W$1,N136=$W$1,J136="2"&amp;$W$1,L136="2"&amp;$W$1,N136="2"&amp;$W$1)</f>
        <v>0</v>
      </c>
      <c r="X136" s="25" t="s">
        <v>1607</v>
      </c>
      <c r="Y136" s="25" t="str">
        <f>B136&amp;" + "&amp;D136&amp;IF(F136&lt;&gt;""," + "&amp;F136,"")&amp;"-&gt;"&amp;J136&amp;" + "&amp;L136&amp;IF(N136&lt;&gt;""," + "&amp;N136,"")</f>
        <v>N4+ + N-&gt;N+ + 2N2</v>
      </c>
      <c r="Z136" s="29">
        <f>O136</f>
        <v>1.0000000000000001E-17</v>
      </c>
    </row>
    <row r="137" spans="1:26" ht="22.5" hidden="1" customHeight="1" x14ac:dyDescent="0.25">
      <c r="A137" s="1" t="s">
        <v>164</v>
      </c>
      <c r="B137" s="1" t="s">
        <v>1386</v>
      </c>
      <c r="C137" s="2" t="s">
        <v>0</v>
      </c>
      <c r="D137" s="22" t="s">
        <v>688</v>
      </c>
      <c r="E137" s="2"/>
      <c r="F137" s="22"/>
      <c r="G137" s="4" t="s">
        <v>7</v>
      </c>
      <c r="H137" s="112" t="s">
        <v>1557</v>
      </c>
      <c r="I137" s="4" t="s">
        <v>7</v>
      </c>
      <c r="J137" s="119" t="s">
        <v>1264</v>
      </c>
      <c r="K137" s="2" t="s">
        <v>0</v>
      </c>
      <c r="L137" s="1" t="s">
        <v>1410</v>
      </c>
      <c r="M137" s="2"/>
      <c r="N137" s="128"/>
      <c r="O137" s="123">
        <f>4*10^-16</f>
        <v>3.9999999999999999E-16</v>
      </c>
      <c r="P137" s="145">
        <v>3.8999999999999998E-16</v>
      </c>
      <c r="Q137" s="118" t="s">
        <v>1635</v>
      </c>
      <c r="R137" s="1"/>
      <c r="S137" s="1" t="s">
        <v>1049</v>
      </c>
      <c r="T137" s="1"/>
      <c r="U137" s="24" t="s">
        <v>691</v>
      </c>
      <c r="V137" s="116" t="b">
        <f>OR(B137=$V$1,D137=$V$1,B137="2"&amp;$V$1)</f>
        <v>0</v>
      </c>
      <c r="W137" s="1" t="b">
        <f>OR(J137=$W$1,L137=$W$1,N137=$W$1,J137="2"&amp;$W$1,L137="2"&amp;$W$1,N137="2"&amp;$W$1)</f>
        <v>0</v>
      </c>
      <c r="X137" s="25" t="s">
        <v>1607</v>
      </c>
      <c r="Y137" s="25" t="str">
        <f>B137&amp;" + "&amp;D137&amp;IF(F137&lt;&gt;""," + "&amp;F137,"")&amp;"-&gt;"&amp;J137&amp;" + "&amp;L137&amp;IF(N137&lt;&gt;""," + "&amp;N137,"")</f>
        <v>N4+ + NO-&gt;NO+ + 2N2</v>
      </c>
      <c r="Z137" s="29">
        <f>O137</f>
        <v>3.9999999999999999E-16</v>
      </c>
    </row>
    <row r="138" spans="1:26" ht="22.5" hidden="1" customHeight="1" x14ac:dyDescent="0.25">
      <c r="A138" s="1" t="s">
        <v>165</v>
      </c>
      <c r="B138" s="1" t="s">
        <v>1386</v>
      </c>
      <c r="C138" s="2" t="s">
        <v>0</v>
      </c>
      <c r="D138" s="22" t="s">
        <v>739</v>
      </c>
      <c r="E138" s="2"/>
      <c r="F138" s="22"/>
      <c r="G138" s="4" t="s">
        <v>7</v>
      </c>
      <c r="H138" s="112" t="s">
        <v>1557</v>
      </c>
      <c r="I138" s="4" t="s">
        <v>7</v>
      </c>
      <c r="J138" s="121" t="s">
        <v>1406</v>
      </c>
      <c r="K138" s="2" t="s">
        <v>0</v>
      </c>
      <c r="L138" s="1" t="s">
        <v>1410</v>
      </c>
      <c r="M138" s="2"/>
      <c r="N138" s="128"/>
      <c r="O138" s="123">
        <f>2.5*10^-16</f>
        <v>2.5000000000000002E-16</v>
      </c>
      <c r="P138" s="145">
        <v>2.5000000000000002E-16</v>
      </c>
      <c r="Q138" s="118" t="s">
        <v>1107</v>
      </c>
      <c r="R138" s="1"/>
      <c r="S138" s="1" t="s">
        <v>1049</v>
      </c>
      <c r="T138" s="1"/>
      <c r="U138" s="24" t="s">
        <v>1031</v>
      </c>
      <c r="V138" s="116" t="b">
        <f>OR(B138=$V$1,D138=$V$1,B138="2"&amp;$V$1)</f>
        <v>0</v>
      </c>
      <c r="W138" s="1" t="b">
        <f>OR(J138=$W$1,L138=$W$1,N138=$W$1,J138="2"&amp;$W$1,L138="2"&amp;$W$1,N138="2"&amp;$W$1)</f>
        <v>0</v>
      </c>
      <c r="Y138" s="25" t="str">
        <f>B138&amp;" + "&amp;D138&amp;IF(F138&lt;&gt;""," + "&amp;F138,"")&amp;"-&gt;"&amp;J138&amp;" + "&amp;L138&amp;IF(N138&lt;&gt;""," + "&amp;N138,"")</f>
        <v>N4+ + NO2-&gt;NO2+ + 2N2</v>
      </c>
      <c r="Z138" s="29">
        <f>O138</f>
        <v>2.5000000000000002E-16</v>
      </c>
    </row>
    <row r="139" spans="1:26" ht="22.5" hidden="1" customHeight="1" x14ac:dyDescent="0.25">
      <c r="A139" s="1"/>
      <c r="B139" s="1" t="s">
        <v>833</v>
      </c>
      <c r="C139" s="2" t="s">
        <v>0</v>
      </c>
      <c r="D139" s="22" t="s">
        <v>654</v>
      </c>
      <c r="E139" s="2"/>
      <c r="F139" s="22"/>
      <c r="G139" s="4" t="s">
        <v>7</v>
      </c>
      <c r="H139" s="112" t="s">
        <v>1557</v>
      </c>
      <c r="I139" s="4" t="s">
        <v>7</v>
      </c>
      <c r="J139" s="151" t="s">
        <v>652</v>
      </c>
      <c r="K139" s="2" t="s">
        <v>0</v>
      </c>
      <c r="L139" s="1" t="s">
        <v>1410</v>
      </c>
      <c r="M139" s="2"/>
      <c r="N139" s="128"/>
      <c r="O139" s="123">
        <f>3*10^-16</f>
        <v>2.9999999999999999E-16</v>
      </c>
      <c r="P139" s="145">
        <v>2.5000000000000002E-16</v>
      </c>
      <c r="Q139" s="118" t="s">
        <v>1659</v>
      </c>
      <c r="R139" s="1"/>
      <c r="S139" s="1" t="s">
        <v>1049</v>
      </c>
      <c r="T139" s="1"/>
      <c r="U139" s="24" t="s">
        <v>756</v>
      </c>
      <c r="V139" s="116" t="b">
        <f>OR(B139=$V$1,D139=$V$1,B139="2"&amp;$V$1)</f>
        <v>0</v>
      </c>
      <c r="W139" s="1" t="b">
        <f>OR(J139=$W$1,L139=$W$1,N139=$W$1,J139="2"&amp;$W$1,L139="2"&amp;$W$1,N139="2"&amp;$W$1)</f>
        <v>0</v>
      </c>
      <c r="X139" s="25" t="s">
        <v>1607</v>
      </c>
      <c r="Y139" s="25" t="str">
        <f>B139&amp;" + "&amp;D139&amp;IF(F139&lt;&gt;""," + "&amp;F139,"")&amp;"-&gt;"&amp;J139&amp;" + "&amp;L139&amp;IF(N139&lt;&gt;""," + "&amp;N139,"")</f>
        <v>N4+ + OH-&gt;OH+ + 2N2</v>
      </c>
      <c r="Z139" s="29">
        <f>O139</f>
        <v>2.9999999999999999E-16</v>
      </c>
    </row>
    <row r="140" spans="1:26" ht="22.5" hidden="1" customHeight="1" x14ac:dyDescent="0.25">
      <c r="A140" s="1"/>
      <c r="B140" s="1" t="s">
        <v>833</v>
      </c>
      <c r="C140" s="2" t="s">
        <v>0</v>
      </c>
      <c r="D140" s="22" t="s">
        <v>1638</v>
      </c>
      <c r="E140" s="2"/>
      <c r="F140" s="22"/>
      <c r="G140" s="4" t="s">
        <v>7</v>
      </c>
      <c r="H140" s="112" t="s">
        <v>1557</v>
      </c>
      <c r="I140" s="4" t="s">
        <v>7</v>
      </c>
      <c r="J140" s="151" t="s">
        <v>1639</v>
      </c>
      <c r="K140" s="2" t="s">
        <v>0</v>
      </c>
      <c r="L140" s="1" t="s">
        <v>1410</v>
      </c>
      <c r="M140" s="2"/>
      <c r="N140" s="128"/>
      <c r="O140" s="123">
        <f>1.8*10^-15</f>
        <v>1.8000000000000001E-15</v>
      </c>
      <c r="P140" s="145"/>
      <c r="Q140" s="118" t="s">
        <v>1089</v>
      </c>
      <c r="R140" s="1"/>
      <c r="S140" s="1"/>
      <c r="T140" s="1"/>
      <c r="U140" s="24" t="s">
        <v>691</v>
      </c>
      <c r="V140" s="116" t="b">
        <f>OR(B140=$V$1,D140=$V$1,B140="2"&amp;$V$1)</f>
        <v>0</v>
      </c>
      <c r="W140" s="1" t="b">
        <f>OR(J140=$W$1,L140=$W$1,N140=$W$1,J140="2"&amp;$W$1,L140="2"&amp;$W$1,N140="2"&amp;$W$1)</f>
        <v>0</v>
      </c>
      <c r="X140" s="25" t="s">
        <v>1607</v>
      </c>
      <c r="Y140" s="25" t="str">
        <f>B140&amp;" + "&amp;D140&amp;IF(F140&lt;&gt;""," + "&amp;F140,"")&amp;"-&gt;"&amp;J140&amp;" + "&amp;L140&amp;IF(N140&lt;&gt;""," + "&amp;N140,"")</f>
        <v>N4+ + NH3-&gt;NH3+ + 2N2</v>
      </c>
      <c r="Z140" s="29">
        <f>O140</f>
        <v>1.8000000000000001E-15</v>
      </c>
    </row>
    <row r="141" spans="1:26" ht="22.5" hidden="1" customHeight="1" x14ac:dyDescent="0.25">
      <c r="A141" s="1" t="s">
        <v>166</v>
      </c>
      <c r="B141" s="1" t="s">
        <v>1386</v>
      </c>
      <c r="C141" s="2" t="s">
        <v>0</v>
      </c>
      <c r="D141" s="22" t="s">
        <v>739</v>
      </c>
      <c r="E141" s="2"/>
      <c r="F141" s="22"/>
      <c r="G141" s="4" t="s">
        <v>7</v>
      </c>
      <c r="H141" s="112" t="s">
        <v>1557</v>
      </c>
      <c r="I141" s="4" t="s">
        <v>7</v>
      </c>
      <c r="J141" s="119" t="s">
        <v>1264</v>
      </c>
      <c r="K141" s="2" t="s">
        <v>0</v>
      </c>
      <c r="L141" s="22" t="s">
        <v>784</v>
      </c>
      <c r="M141" s="2" t="s">
        <v>0</v>
      </c>
      <c r="N141" s="128" t="s">
        <v>689</v>
      </c>
      <c r="O141" s="123">
        <f>5*10^-17</f>
        <v>5.0000000000000005E-17</v>
      </c>
      <c r="P141" s="145">
        <v>5.0000000000000005E-17</v>
      </c>
      <c r="Q141" s="118" t="s">
        <v>1100</v>
      </c>
      <c r="R141" s="1"/>
      <c r="S141" s="1" t="s">
        <v>1049</v>
      </c>
      <c r="T141" s="1"/>
      <c r="U141" s="24" t="s">
        <v>1031</v>
      </c>
      <c r="V141" s="116" t="b">
        <f>OR(B141=$V$1,D141=$V$1,B141="2"&amp;$V$1)</f>
        <v>0</v>
      </c>
      <c r="W141" s="1" t="b">
        <f>OR(J141=$W$1,L141=$W$1,N141=$W$1,J141="2"&amp;$W$1,L141="2"&amp;$W$1,N141="2"&amp;$W$1)</f>
        <v>0</v>
      </c>
      <c r="Y141" s="25" t="str">
        <f>B141&amp;" + "&amp;D141&amp;IF(F141&lt;&gt;""," + "&amp;F141,"")&amp;"-&gt;"&amp;J141&amp;" + "&amp;L141&amp;IF(N141&lt;&gt;""," + "&amp;N141,"")</f>
        <v>N4+ + NO2-&gt;NO+ + N2O + N2</v>
      </c>
      <c r="Z141" s="29">
        <f>O141</f>
        <v>5.0000000000000005E-17</v>
      </c>
    </row>
    <row r="142" spans="1:26" ht="22.5" hidden="1" customHeight="1" x14ac:dyDescent="0.25">
      <c r="A142" s="1"/>
      <c r="B142" s="1" t="s">
        <v>650</v>
      </c>
      <c r="C142" s="2" t="s">
        <v>0</v>
      </c>
      <c r="D142" s="22" t="s">
        <v>639</v>
      </c>
      <c r="E142" s="2" t="s">
        <v>0</v>
      </c>
      <c r="F142" s="22" t="s">
        <v>637</v>
      </c>
      <c r="G142" s="4" t="s">
        <v>7</v>
      </c>
      <c r="H142" s="112" t="s">
        <v>1630</v>
      </c>
      <c r="I142" s="4" t="s">
        <v>7</v>
      </c>
      <c r="J142" s="122" t="s">
        <v>822</v>
      </c>
      <c r="K142" s="2" t="s">
        <v>0</v>
      </c>
      <c r="L142" s="22" t="s">
        <v>637</v>
      </c>
      <c r="M142" s="2"/>
      <c r="N142" s="125"/>
      <c r="O142" s="126">
        <f>1*10^-41*NM</f>
        <v>2.7000000000000005E-16</v>
      </c>
      <c r="P142" s="146">
        <v>2.7000000000000005E-16</v>
      </c>
      <c r="Q142" s="118" t="s">
        <v>1090</v>
      </c>
      <c r="R142" s="1"/>
      <c r="S142" s="1"/>
      <c r="T142" s="1"/>
      <c r="U142" s="24" t="s">
        <v>691</v>
      </c>
      <c r="V142" s="116" t="b">
        <f>OR(B142=$V$1,D142=$V$1,B142="2"&amp;$V$1)</f>
        <v>0</v>
      </c>
      <c r="W142" s="1" t="b">
        <f>OR(J142=$W$1,L142=$W$1,N142=$W$1,J142="2"&amp;$W$1,L142="2"&amp;$W$1,N142="2"&amp;$W$1)</f>
        <v>0</v>
      </c>
      <c r="X142" s="25" t="s">
        <v>1607</v>
      </c>
      <c r="Y142" s="25" t="str">
        <f>B142&amp;" + "&amp;D142&amp;IF(F142&lt;&gt;""," + "&amp;F142,"")&amp;"-&gt;"&amp;J142&amp;" + "&amp;L142&amp;IF(N142&lt;&gt;""," + "&amp;N142,"")</f>
        <v>O+ + O + O2-&gt;O2+ + O2</v>
      </c>
      <c r="Z142" s="29">
        <f>O142</f>
        <v>2.7000000000000005E-16</v>
      </c>
    </row>
    <row r="143" spans="1:26" ht="22.5" hidden="1" customHeight="1" x14ac:dyDescent="0.25">
      <c r="A143" s="1" t="s">
        <v>168</v>
      </c>
      <c r="B143" s="1" t="s">
        <v>1386</v>
      </c>
      <c r="C143" s="2" t="s">
        <v>0</v>
      </c>
      <c r="D143" s="22" t="s">
        <v>649</v>
      </c>
      <c r="E143" s="2"/>
      <c r="F143" s="22"/>
      <c r="G143" s="4" t="s">
        <v>7</v>
      </c>
      <c r="H143" s="112" t="s">
        <v>1557</v>
      </c>
      <c r="I143" s="4" t="s">
        <v>7</v>
      </c>
      <c r="J143" s="122" t="s">
        <v>1402</v>
      </c>
      <c r="K143" s="2" t="s">
        <v>0</v>
      </c>
      <c r="L143" s="1" t="s">
        <v>1410</v>
      </c>
      <c r="M143" s="2"/>
      <c r="N143" s="128"/>
      <c r="O143" s="123">
        <f>2.5*10^-16</f>
        <v>2.5000000000000002E-16</v>
      </c>
      <c r="P143" s="145">
        <v>2.4E-16</v>
      </c>
      <c r="Q143" s="118" t="s">
        <v>1107</v>
      </c>
      <c r="R143" s="1"/>
      <c r="S143" s="1" t="s">
        <v>1049</v>
      </c>
      <c r="T143" s="1"/>
      <c r="U143" s="24" t="s">
        <v>691</v>
      </c>
      <c r="V143" s="116" t="b">
        <f>OR(B143=$V$1,D143=$V$1,B143="2"&amp;$V$1)</f>
        <v>0</v>
      </c>
      <c r="W143" s="1" t="b">
        <f>OR(J143=$W$1,L143=$W$1,N143=$W$1,J143="2"&amp;$W$1,L143="2"&amp;$W$1,N143="2"&amp;$W$1)</f>
        <v>0</v>
      </c>
      <c r="X143" s="25" t="s">
        <v>1607</v>
      </c>
      <c r="Y143" s="25" t="str">
        <f>B143&amp;" + "&amp;D143&amp;IF(F143&lt;&gt;""," + "&amp;F143,"")&amp;"-&gt;"&amp;J143&amp;" + "&amp;L143&amp;IF(N143&lt;&gt;""," + "&amp;N143,"")</f>
        <v>N4+ + O2-&gt;O2+ + 2N2</v>
      </c>
      <c r="Z143" s="29">
        <f>O143</f>
        <v>2.5000000000000002E-16</v>
      </c>
    </row>
    <row r="144" spans="1:26" ht="22.5" hidden="1" customHeight="1" x14ac:dyDescent="0.25">
      <c r="A144" s="1" t="s">
        <v>169</v>
      </c>
      <c r="B144" s="1" t="s">
        <v>1386</v>
      </c>
      <c r="C144" s="2" t="s">
        <v>0</v>
      </c>
      <c r="D144" s="3" t="s">
        <v>640</v>
      </c>
      <c r="E144" s="2"/>
      <c r="F144" s="22"/>
      <c r="G144" s="4" t="s">
        <v>7</v>
      </c>
      <c r="H144" s="112" t="s">
        <v>1557</v>
      </c>
      <c r="I144" s="4" t="s">
        <v>7</v>
      </c>
      <c r="J144" s="121" t="s">
        <v>1400</v>
      </c>
      <c r="K144" s="2" t="s">
        <v>0</v>
      </c>
      <c r="L144" s="1" t="s">
        <v>1410</v>
      </c>
      <c r="M144" s="2"/>
      <c r="N144" s="128"/>
      <c r="O144" s="123">
        <f>3*10^-16*EXP(-1800/Tg)</f>
        <v>7.8913996001419082E-19</v>
      </c>
      <c r="P144" s="145">
        <v>7.8913996001419082E-19</v>
      </c>
      <c r="Q144" s="118" t="s">
        <v>1108</v>
      </c>
      <c r="R144" s="1"/>
      <c r="S144" s="1" t="s">
        <v>1049</v>
      </c>
      <c r="T144" s="1"/>
      <c r="U144" s="24" t="s">
        <v>691</v>
      </c>
      <c r="V144" s="116" t="b">
        <f>OR(B144=$V$1,D144=$V$1,B144="2"&amp;$V$1)</f>
        <v>0</v>
      </c>
      <c r="W144" s="1" t="b">
        <f>OR(J144=$W$1,L144=$W$1,N144=$W$1,J144="2"&amp;$W$1,L144="2"&amp;$W$1,N144="2"&amp;$W$1)</f>
        <v>0</v>
      </c>
      <c r="X144" s="25" t="s">
        <v>1607</v>
      </c>
      <c r="Y144" s="25" t="str">
        <f>B144&amp;" + "&amp;D144&amp;IF(F144&lt;&gt;""," + "&amp;F144,"")&amp;"-&gt;"&amp;J144&amp;" + "&amp;L144&amp;IF(N144&lt;&gt;""," + "&amp;N144,"")</f>
        <v>N4+ + H2-&gt;H2+ + 2N2</v>
      </c>
      <c r="Z144" s="29">
        <f>O144</f>
        <v>7.8913996001419082E-19</v>
      </c>
    </row>
    <row r="145" spans="1:26" ht="22.5" hidden="1" customHeight="1" x14ac:dyDescent="0.25">
      <c r="A145" s="1"/>
      <c r="B145" s="1" t="s">
        <v>833</v>
      </c>
      <c r="C145" s="2" t="s">
        <v>0</v>
      </c>
      <c r="D145" s="3" t="s">
        <v>640</v>
      </c>
      <c r="E145" s="2"/>
      <c r="F145" s="22"/>
      <c r="G145" s="4" t="s">
        <v>7</v>
      </c>
      <c r="H145" s="112" t="s">
        <v>1557</v>
      </c>
      <c r="I145" s="4" t="s">
        <v>7</v>
      </c>
      <c r="J145" s="151" t="s">
        <v>1637</v>
      </c>
      <c r="K145" s="2" t="s">
        <v>0</v>
      </c>
      <c r="L145" s="1" t="s">
        <v>653</v>
      </c>
      <c r="M145" s="2" t="s">
        <v>0</v>
      </c>
      <c r="N145" s="128" t="s">
        <v>1565</v>
      </c>
      <c r="O145" s="123">
        <f>6.7*1.6*10^-16</f>
        <v>1.0720000000000001E-15</v>
      </c>
      <c r="P145" s="145"/>
      <c r="Q145" s="118" t="s">
        <v>1636</v>
      </c>
      <c r="R145" s="1"/>
      <c r="S145" s="1"/>
      <c r="T145" s="1"/>
      <c r="U145" s="24" t="s">
        <v>691</v>
      </c>
      <c r="V145" s="116" t="b">
        <f>OR(B145=$V$1,D145=$V$1,B145="2"&amp;$V$1)</f>
        <v>0</v>
      </c>
      <c r="W145" s="1" t="b">
        <f>OR(J145=$W$1,L145=$W$1,N145=$W$1,J145="2"&amp;$W$1,L145="2"&amp;$W$1,N145="2"&amp;$W$1)</f>
        <v>0</v>
      </c>
      <c r="X145" s="25" t="s">
        <v>1607</v>
      </c>
      <c r="Y145" s="25" t="str">
        <f>B145&amp;" + "&amp;D145&amp;IF(F145&lt;&gt;""," + "&amp;F145,"")&amp;"-&gt;"&amp;J145&amp;" + "&amp;L145&amp;IF(N145&lt;&gt;""," + "&amp;N145,"")</f>
        <v>N4+ + H2-&gt;HN2+ + H + N2</v>
      </c>
      <c r="Z145" s="29">
        <f>O145</f>
        <v>1.0720000000000001E-15</v>
      </c>
    </row>
    <row r="146" spans="1:26" ht="22.5" hidden="1" customHeight="1" x14ac:dyDescent="0.25">
      <c r="A146" s="1" t="s">
        <v>170</v>
      </c>
      <c r="B146" s="1" t="s">
        <v>1386</v>
      </c>
      <c r="C146" s="2" t="s">
        <v>0</v>
      </c>
      <c r="D146" s="3" t="s">
        <v>641</v>
      </c>
      <c r="E146" s="2"/>
      <c r="F146" s="22"/>
      <c r="G146" s="4" t="s">
        <v>7</v>
      </c>
      <c r="H146" s="112" t="s">
        <v>1557</v>
      </c>
      <c r="I146" s="4" t="s">
        <v>7</v>
      </c>
      <c r="J146" s="119" t="s">
        <v>1256</v>
      </c>
      <c r="K146" s="2" t="s">
        <v>0</v>
      </c>
      <c r="L146" s="1" t="s">
        <v>1410</v>
      </c>
      <c r="M146" s="2"/>
      <c r="N146" s="128"/>
      <c r="O146" s="123">
        <f>3*10^-15</f>
        <v>3.0000000000000002E-15</v>
      </c>
      <c r="P146" s="145">
        <v>3.0000000000000002E-15</v>
      </c>
      <c r="Q146" s="118" t="s">
        <v>1109</v>
      </c>
      <c r="R146" s="1"/>
      <c r="S146" s="1" t="s">
        <v>1049</v>
      </c>
      <c r="T146" s="1"/>
      <c r="U146" s="24" t="s">
        <v>691</v>
      </c>
      <c r="V146" s="116" t="b">
        <f>OR(B146=$V$1,D146=$V$1,B146="2"&amp;$V$1)</f>
        <v>0</v>
      </c>
      <c r="W146" s="1" t="b">
        <f>OR(J146=$W$1,L146=$W$1,N146=$W$1,J146="2"&amp;$W$1,L146="2"&amp;$W$1,N146="2"&amp;$W$1)</f>
        <v>0</v>
      </c>
      <c r="X146" s="25" t="s">
        <v>1607</v>
      </c>
      <c r="Y146" s="25" t="str">
        <f>B146&amp;" + "&amp;D146&amp;IF(F146&lt;&gt;""," + "&amp;F146,"")&amp;"-&gt;"&amp;J146&amp;" + "&amp;L146&amp;IF(N146&lt;&gt;""," + "&amp;N146,"")</f>
        <v>N4+ + H2O-&gt;H2O+ + 2N2</v>
      </c>
      <c r="Z146" s="29">
        <f>O146</f>
        <v>3.0000000000000002E-15</v>
      </c>
    </row>
    <row r="147" spans="1:26" ht="22.5" hidden="1" customHeight="1" x14ac:dyDescent="0.25">
      <c r="A147" s="1" t="s">
        <v>171</v>
      </c>
      <c r="B147" s="1" t="s">
        <v>678</v>
      </c>
      <c r="C147" s="2" t="s">
        <v>0</v>
      </c>
      <c r="D147" s="22" t="s">
        <v>636</v>
      </c>
      <c r="E147" s="2" t="s">
        <v>0</v>
      </c>
      <c r="F147" s="22" t="s">
        <v>3</v>
      </c>
      <c r="G147" s="4" t="s">
        <v>7</v>
      </c>
      <c r="H147" s="112" t="s">
        <v>1630</v>
      </c>
      <c r="I147" s="4" t="s">
        <v>7</v>
      </c>
      <c r="J147" s="119" t="s">
        <v>1264</v>
      </c>
      <c r="K147" s="2" t="s">
        <v>0</v>
      </c>
      <c r="L147" s="22" t="s">
        <v>687</v>
      </c>
      <c r="M147" s="2" t="s">
        <v>0</v>
      </c>
      <c r="N147" s="125" t="s">
        <v>1565</v>
      </c>
      <c r="O147" s="126">
        <f>1*10^-41*NM</f>
        <v>2.7000000000000005E-16</v>
      </c>
      <c r="P147" s="146">
        <v>2.7000000000000005E-16</v>
      </c>
      <c r="Q147" s="118" t="s">
        <v>1090</v>
      </c>
      <c r="R147" s="1"/>
      <c r="S147" s="1" t="s">
        <v>1049</v>
      </c>
      <c r="T147" s="1"/>
      <c r="U147" s="24" t="s">
        <v>691</v>
      </c>
      <c r="V147" s="116" t="b">
        <f>OR(B147=$V$1,D147=$V$1,B147="2"&amp;$V$1)</f>
        <v>0</v>
      </c>
      <c r="W147" s="1" t="b">
        <f>OR(J147=$W$1,L147=$W$1,N147=$W$1,J147="2"&amp;$W$1,L147="2"&amp;$W$1,N147="2"&amp;$W$1)</f>
        <v>0</v>
      </c>
      <c r="X147" s="25" t="s">
        <v>1607</v>
      </c>
      <c r="Y147" s="25" t="str">
        <f>B147&amp;" + "&amp;D147&amp;IF(F147&lt;&gt;""," + "&amp;F147,"")&amp;"-&gt;"&amp;J147&amp;" + "&amp;L147&amp;IF(N147&lt;&gt;""," + "&amp;N147,"")</f>
        <v>O+ + N + N2-&gt;NO+ + M + N2</v>
      </c>
      <c r="Z147" s="29">
        <f>O147</f>
        <v>2.7000000000000005E-16</v>
      </c>
    </row>
    <row r="148" spans="1:26" ht="22.5" hidden="1" customHeight="1" x14ac:dyDescent="0.25">
      <c r="A148" s="1"/>
      <c r="B148" s="1" t="s">
        <v>650</v>
      </c>
      <c r="C148" s="2" t="s">
        <v>0</v>
      </c>
      <c r="D148" s="22" t="s">
        <v>636</v>
      </c>
      <c r="E148" s="2"/>
      <c r="F148" s="22" t="s">
        <v>637</v>
      </c>
      <c r="G148" s="4" t="s">
        <v>7</v>
      </c>
      <c r="H148" s="112" t="s">
        <v>1630</v>
      </c>
      <c r="I148" s="4" t="s">
        <v>7</v>
      </c>
      <c r="J148" s="119" t="s">
        <v>698</v>
      </c>
      <c r="K148" s="2" t="s">
        <v>0</v>
      </c>
      <c r="L148" s="22" t="s">
        <v>687</v>
      </c>
      <c r="M148" s="2" t="s">
        <v>0</v>
      </c>
      <c r="N148" s="125" t="s">
        <v>1566</v>
      </c>
      <c r="O148" s="126">
        <f>1*10^-41*NM</f>
        <v>2.7000000000000005E-16</v>
      </c>
      <c r="P148" s="146">
        <v>2.7000000000000005E-16</v>
      </c>
      <c r="Q148" s="118" t="s">
        <v>1090</v>
      </c>
      <c r="R148" s="1"/>
      <c r="S148" s="1"/>
      <c r="T148" s="1"/>
      <c r="U148" s="24" t="s">
        <v>691</v>
      </c>
      <c r="V148" s="116" t="b">
        <f>OR(B148=$V$1,D148=$V$1,B148="2"&amp;$V$1)</f>
        <v>0</v>
      </c>
      <c r="W148" s="1" t="b">
        <f>OR(J148=$W$1,L148=$W$1,N148=$W$1,J148="2"&amp;$W$1,L148="2"&amp;$W$1,N148="2"&amp;$W$1)</f>
        <v>0</v>
      </c>
      <c r="X148" s="25" t="s">
        <v>1607</v>
      </c>
      <c r="Y148" s="25" t="str">
        <f>B148&amp;" + "&amp;D148&amp;IF(F148&lt;&gt;""," + "&amp;F148,"")&amp;"-&gt;"&amp;J148&amp;" + "&amp;L148&amp;IF(N148&lt;&gt;""," + "&amp;N148,"")</f>
        <v>O+ + N + O2-&gt;NO+ + M + O2</v>
      </c>
      <c r="Z148" s="29">
        <f>O148</f>
        <v>2.7000000000000005E-16</v>
      </c>
    </row>
    <row r="149" spans="1:26" ht="22.5" hidden="1" customHeight="1" x14ac:dyDescent="0.25">
      <c r="A149" s="1" t="s">
        <v>172</v>
      </c>
      <c r="B149" s="1" t="s">
        <v>678</v>
      </c>
      <c r="C149" s="2" t="s">
        <v>0</v>
      </c>
      <c r="D149" s="22" t="s">
        <v>689</v>
      </c>
      <c r="E149" s="2" t="s">
        <v>0</v>
      </c>
      <c r="F149" s="22" t="s">
        <v>3</v>
      </c>
      <c r="G149" s="4" t="s">
        <v>7</v>
      </c>
      <c r="H149" s="112" t="s">
        <v>1630</v>
      </c>
      <c r="I149" s="4" t="s">
        <v>7</v>
      </c>
      <c r="J149" s="119" t="s">
        <v>1264</v>
      </c>
      <c r="K149" s="2" t="s">
        <v>0</v>
      </c>
      <c r="L149" s="22" t="s">
        <v>636</v>
      </c>
      <c r="M149" s="2" t="s">
        <v>0</v>
      </c>
      <c r="N149" s="125" t="s">
        <v>1565</v>
      </c>
      <c r="O149" s="126">
        <f>6*10^-41*(300/Teff)^2*NM</f>
        <v>1.5880796000392119E-15</v>
      </c>
      <c r="P149" s="146">
        <v>1.5880796000392119E-15</v>
      </c>
      <c r="Q149" s="118" t="s">
        <v>1622</v>
      </c>
      <c r="R149" s="1"/>
      <c r="S149" s="1" t="s">
        <v>1049</v>
      </c>
      <c r="T149" s="1"/>
      <c r="U149" s="24" t="s">
        <v>691</v>
      </c>
      <c r="V149" s="116" t="b">
        <f>OR(B149=$V$1,D149=$V$1,B149="2"&amp;$V$1)</f>
        <v>0</v>
      </c>
      <c r="W149" s="1" t="b">
        <f>OR(J149=$W$1,L149=$W$1,N149=$W$1,J149="2"&amp;$W$1,L149="2"&amp;$W$1,N149="2"&amp;$W$1)</f>
        <v>0</v>
      </c>
      <c r="X149" s="25" t="s">
        <v>1607</v>
      </c>
      <c r="Y149" s="25" t="str">
        <f>B149&amp;" + "&amp;D149&amp;IF(F149&lt;&gt;""," + "&amp;F149,"")&amp;"-&gt;"&amp;J149&amp;" + "&amp;L149&amp;IF(N149&lt;&gt;""," + "&amp;N149,"")</f>
        <v>O+ + N2 + N2-&gt;NO+ + N + N2</v>
      </c>
      <c r="Z149" s="29">
        <f>O149</f>
        <v>1.5880796000392119E-15</v>
      </c>
    </row>
    <row r="150" spans="1:26" ht="22.5" hidden="1" customHeight="1" x14ac:dyDescent="0.25">
      <c r="A150" s="1"/>
      <c r="B150" s="1" t="s">
        <v>650</v>
      </c>
      <c r="C150" s="2" t="s">
        <v>0</v>
      </c>
      <c r="D150" s="22" t="s">
        <v>3</v>
      </c>
      <c r="E150" s="2" t="s">
        <v>0</v>
      </c>
      <c r="F150" s="22" t="s">
        <v>637</v>
      </c>
      <c r="G150" s="4"/>
      <c r="H150" s="112" t="s">
        <v>1630</v>
      </c>
      <c r="I150" s="4" t="s">
        <v>7</v>
      </c>
      <c r="J150" s="119" t="s">
        <v>698</v>
      </c>
      <c r="K150" s="2" t="s">
        <v>0</v>
      </c>
      <c r="L150" s="22" t="s">
        <v>636</v>
      </c>
      <c r="M150" s="2" t="s">
        <v>0</v>
      </c>
      <c r="N150" s="125" t="s">
        <v>1566</v>
      </c>
      <c r="O150" s="126">
        <f>6*10^-41*(300/Teff)^2*NM</f>
        <v>1.5880796000392119E-15</v>
      </c>
      <c r="P150" s="146">
        <v>1.5880796000392119E-15</v>
      </c>
      <c r="Q150" s="118" t="s">
        <v>1622</v>
      </c>
      <c r="R150" s="1"/>
      <c r="S150" s="1"/>
      <c r="T150" s="1"/>
      <c r="U150" s="24" t="s">
        <v>691</v>
      </c>
      <c r="V150" s="116" t="b">
        <f>OR(B150=$V$1,D150=$V$1,B150="2"&amp;$V$1)</f>
        <v>0</v>
      </c>
      <c r="W150" s="1" t="b">
        <f>OR(J150=$W$1,L150=$W$1,N150=$W$1,J150="2"&amp;$W$1,L150="2"&amp;$W$1,N150="2"&amp;$W$1)</f>
        <v>0</v>
      </c>
      <c r="X150" s="25" t="s">
        <v>1607</v>
      </c>
      <c r="Y150" s="25" t="str">
        <f>B150&amp;" + "&amp;D150&amp;IF(F150&lt;&gt;""," + "&amp;F150,"")&amp;"-&gt;"&amp;J150&amp;" + "&amp;L150&amp;IF(N150&lt;&gt;""," + "&amp;N150,"")</f>
        <v>O+ + N2 + O2-&gt;NO+ + N + O2</v>
      </c>
      <c r="Z150" s="29">
        <f>O150</f>
        <v>1.5880796000392119E-15</v>
      </c>
    </row>
    <row r="151" spans="1:26" ht="22.5" hidden="1" customHeight="1" x14ac:dyDescent="0.25">
      <c r="A151" s="1" t="s">
        <v>128</v>
      </c>
      <c r="B151" s="1" t="s">
        <v>675</v>
      </c>
      <c r="C151" s="2" t="s">
        <v>0</v>
      </c>
      <c r="D151" s="1" t="s">
        <v>639</v>
      </c>
      <c r="E151" s="2" t="s">
        <v>0</v>
      </c>
      <c r="F151" s="1" t="s">
        <v>1566</v>
      </c>
      <c r="G151" s="4" t="s">
        <v>7</v>
      </c>
      <c r="H151" s="112" t="s">
        <v>1630</v>
      </c>
      <c r="I151" s="4" t="s">
        <v>7</v>
      </c>
      <c r="J151" s="119" t="s">
        <v>1264</v>
      </c>
      <c r="K151" s="2" t="s">
        <v>0</v>
      </c>
      <c r="L151" s="1" t="s">
        <v>1566</v>
      </c>
      <c r="M151" s="22"/>
      <c r="N151" s="125"/>
      <c r="O151" s="126">
        <f>1*10^-41*NM</f>
        <v>2.7000000000000005E-16</v>
      </c>
      <c r="P151" s="146">
        <v>2.7000000000000005E-16</v>
      </c>
      <c r="Q151" s="118" t="s">
        <v>1090</v>
      </c>
      <c r="R151" s="1"/>
      <c r="S151" s="1" t="s">
        <v>1049</v>
      </c>
      <c r="T151" s="1"/>
      <c r="U151" s="24" t="s">
        <v>691</v>
      </c>
      <c r="V151" s="116" t="b">
        <f>OR(B151=$V$1,D151=$V$1,B151="2"&amp;$V$1)</f>
        <v>0</v>
      </c>
      <c r="W151" s="1" t="b">
        <f>OR(J151=$W$1,L151=$W$1,N151=$W$1,J151="2"&amp;$W$1,L151="2"&amp;$W$1,N151="2"&amp;$W$1)</f>
        <v>0</v>
      </c>
      <c r="X151" s="25" t="s">
        <v>1607</v>
      </c>
      <c r="Y151" s="25" t="str">
        <f>B151&amp;" + "&amp;D151&amp;IF(F151&lt;&gt;""," + "&amp;F151,"")&amp;"-&gt;"&amp;J151&amp;" + "&amp;L151&amp;IF(N151&lt;&gt;""," + "&amp;N151,"")</f>
        <v>N+ + O + O2-&gt;NO+ + O2</v>
      </c>
      <c r="Z151" s="29">
        <f>O151</f>
        <v>2.7000000000000005E-16</v>
      </c>
    </row>
    <row r="152" spans="1:26" ht="22.5" hidden="1" customHeight="1" x14ac:dyDescent="0.25">
      <c r="A152" s="1"/>
      <c r="B152" s="1" t="s">
        <v>645</v>
      </c>
      <c r="C152" s="2" t="s">
        <v>0</v>
      </c>
      <c r="D152" s="1" t="s">
        <v>639</v>
      </c>
      <c r="E152" s="2" t="s">
        <v>0</v>
      </c>
      <c r="F152" s="1" t="s">
        <v>1565</v>
      </c>
      <c r="G152" s="4" t="s">
        <v>7</v>
      </c>
      <c r="H152" s="112" t="s">
        <v>1630</v>
      </c>
      <c r="I152" s="4" t="s">
        <v>7</v>
      </c>
      <c r="J152" s="119" t="s">
        <v>698</v>
      </c>
      <c r="K152" s="2" t="s">
        <v>0</v>
      </c>
      <c r="L152" s="1" t="s">
        <v>1565</v>
      </c>
      <c r="M152" s="2"/>
      <c r="N152" s="125"/>
      <c r="O152" s="126">
        <f>1*10^-41*NM</f>
        <v>2.7000000000000005E-16</v>
      </c>
      <c r="P152" s="146">
        <v>2.7000000000000005E-16</v>
      </c>
      <c r="Q152" s="118" t="s">
        <v>1090</v>
      </c>
      <c r="R152" s="1"/>
      <c r="S152" s="1" t="s">
        <v>1049</v>
      </c>
      <c r="T152" s="1"/>
      <c r="U152" s="24" t="s">
        <v>691</v>
      </c>
      <c r="V152" s="116" t="b">
        <f>OR(B152=$V$1,D152=$V$1,B152="2"&amp;$V$1)</f>
        <v>0</v>
      </c>
      <c r="W152" s="1" t="b">
        <f>OR(J152=$W$1,L152=$W$1,N152=$W$1,J152="2"&amp;$W$1,L152="2"&amp;$W$1,N152="2"&amp;$W$1)</f>
        <v>0</v>
      </c>
      <c r="X152" s="25" t="s">
        <v>1607</v>
      </c>
      <c r="Y152" s="25" t="str">
        <f>B152&amp;" + "&amp;D152&amp;IF(F152&lt;&gt;""," + "&amp;F152,"")&amp;"-&gt;"&amp;J152&amp;" + "&amp;L152&amp;IF(N152&lt;&gt;""," + "&amp;N152,"")</f>
        <v>N+ + O + N2-&gt;NO+ + N2</v>
      </c>
      <c r="Z152" s="29">
        <f>O152</f>
        <v>2.7000000000000005E-16</v>
      </c>
    </row>
    <row r="153" spans="1:26" ht="22.5" hidden="1" customHeight="1" x14ac:dyDescent="0.25">
      <c r="A153" s="1"/>
      <c r="B153" s="1" t="s">
        <v>650</v>
      </c>
      <c r="C153" s="2" t="s">
        <v>0</v>
      </c>
      <c r="D153" s="22" t="s">
        <v>3</v>
      </c>
      <c r="E153" s="2"/>
      <c r="F153" s="22"/>
      <c r="G153" s="4" t="s">
        <v>7</v>
      </c>
      <c r="H153" s="112" t="s">
        <v>1557</v>
      </c>
      <c r="I153" s="4" t="s">
        <v>7</v>
      </c>
      <c r="J153" s="119" t="s">
        <v>698</v>
      </c>
      <c r="K153" s="2" t="s">
        <v>0</v>
      </c>
      <c r="L153" s="22" t="s">
        <v>636</v>
      </c>
      <c r="M153" s="2"/>
      <c r="N153" s="125"/>
      <c r="O153" s="126">
        <f>(1.5-2*10^-3*Teff+9.6*10^-7*Teff^2)*10^-18</f>
        <v>9.8213664000000001E-19</v>
      </c>
      <c r="P153" s="146"/>
      <c r="Q153" s="118" t="s">
        <v>1623</v>
      </c>
      <c r="R153" s="1"/>
      <c r="S153" s="1"/>
      <c r="T153" s="1"/>
      <c r="U153" s="24" t="s">
        <v>691</v>
      </c>
      <c r="V153" s="116" t="b">
        <f>OR(B153=$V$1,D153=$V$1,B153="2"&amp;$V$1)</f>
        <v>0</v>
      </c>
      <c r="W153" s="1" t="b">
        <f>OR(J153=$W$1,L153=$W$1,N153=$W$1,J153="2"&amp;$W$1,L153="2"&amp;$W$1,N153="2"&amp;$W$1)</f>
        <v>0</v>
      </c>
      <c r="X153" s="25" t="s">
        <v>1607</v>
      </c>
      <c r="Y153" s="25" t="str">
        <f>B153&amp;" + "&amp;D153&amp;IF(F153&lt;&gt;""," + "&amp;F153,"")&amp;"-&gt;"&amp;J153&amp;" + "&amp;L153&amp;IF(N153&lt;&gt;""," + "&amp;N153,"")</f>
        <v>O+ + N2-&gt;NO+ + N</v>
      </c>
      <c r="Z153" s="29">
        <f>O153</f>
        <v>9.8213664000000001E-19</v>
      </c>
    </row>
    <row r="154" spans="1:26" ht="22.5" hidden="1" customHeight="1" x14ac:dyDescent="0.25">
      <c r="A154" s="1"/>
      <c r="B154" s="1" t="s">
        <v>650</v>
      </c>
      <c r="C154" s="2" t="s">
        <v>0</v>
      </c>
      <c r="D154" s="22" t="s">
        <v>3</v>
      </c>
      <c r="E154" s="2"/>
      <c r="F154" s="22"/>
      <c r="G154" s="4" t="s">
        <v>7</v>
      </c>
      <c r="H154" s="112" t="s">
        <v>1557</v>
      </c>
      <c r="I154" s="4" t="s">
        <v>7</v>
      </c>
      <c r="J154" s="150" t="s">
        <v>831</v>
      </c>
      <c r="K154" s="2" t="s">
        <v>0</v>
      </c>
      <c r="L154" s="22" t="s">
        <v>639</v>
      </c>
      <c r="M154" s="2"/>
      <c r="N154" s="125"/>
      <c r="O154" s="126">
        <f>9*10^-17*Teff^-0.7</f>
        <v>1.649045616746851E-18</v>
      </c>
      <c r="P154" s="146"/>
      <c r="Q154" s="118" t="s">
        <v>1660</v>
      </c>
      <c r="R154" s="1"/>
      <c r="S154" s="1"/>
      <c r="T154" s="1"/>
      <c r="U154" s="24" t="s">
        <v>756</v>
      </c>
      <c r="V154" s="116" t="b">
        <f>OR(B154=$V$1,D154=$V$1,B154="2"&amp;$V$1)</f>
        <v>0</v>
      </c>
      <c r="W154" s="1" t="b">
        <f>OR(J154=$W$1,L154=$W$1,N154=$W$1,J154="2"&amp;$W$1,L154="2"&amp;$W$1,N154="2"&amp;$W$1)</f>
        <v>0</v>
      </c>
      <c r="X154" s="25" t="s">
        <v>1607</v>
      </c>
      <c r="Y154" s="25" t="str">
        <f>B154&amp;" + "&amp;D154&amp;IF(F154&lt;&gt;""," + "&amp;F154,"")&amp;"-&gt;"&amp;J154&amp;" + "&amp;L154&amp;IF(N154&lt;&gt;""," + "&amp;N154,"")</f>
        <v>O+ + N2-&gt;N2+ + O</v>
      </c>
      <c r="Z154" s="29">
        <f>O154</f>
        <v>1.649045616746851E-18</v>
      </c>
    </row>
    <row r="155" spans="1:26" ht="22.5" hidden="1" customHeight="1" x14ac:dyDescent="0.25">
      <c r="A155" s="1" t="s">
        <v>174</v>
      </c>
      <c r="B155" s="1" t="s">
        <v>678</v>
      </c>
      <c r="C155" s="2" t="s">
        <v>0</v>
      </c>
      <c r="D155" s="22" t="s">
        <v>649</v>
      </c>
      <c r="E155" s="2"/>
      <c r="F155" s="22"/>
      <c r="G155" s="4" t="s">
        <v>7</v>
      </c>
      <c r="H155" s="112" t="s">
        <v>1557</v>
      </c>
      <c r="I155" s="4" t="s">
        <v>7</v>
      </c>
      <c r="J155" s="122" t="s">
        <v>1402</v>
      </c>
      <c r="K155" s="2" t="s">
        <v>0</v>
      </c>
      <c r="L155" s="22" t="s">
        <v>639</v>
      </c>
      <c r="M155" s="2"/>
      <c r="N155" s="125"/>
      <c r="O155" s="126">
        <f>2*10^-17*(300/Teff)^0.5</f>
        <v>1.9900743804199785E-17</v>
      </c>
      <c r="P155" s="146">
        <v>2.0895780994409775E-17</v>
      </c>
      <c r="Q155" s="118" t="s">
        <v>1624</v>
      </c>
      <c r="R155" s="1"/>
      <c r="S155" s="1" t="s">
        <v>1049</v>
      </c>
      <c r="T155" s="1"/>
      <c r="U155" s="24" t="s">
        <v>691</v>
      </c>
      <c r="V155" s="116" t="b">
        <f>OR(B155=$V$1,D155=$V$1,B155="2"&amp;$V$1)</f>
        <v>0</v>
      </c>
      <c r="W155" s="1" t="b">
        <f>OR(J155=$W$1,L155=$W$1,N155=$W$1,J155="2"&amp;$W$1,L155="2"&amp;$W$1,N155="2"&amp;$W$1)</f>
        <v>0</v>
      </c>
      <c r="X155" s="25" t="s">
        <v>1607</v>
      </c>
      <c r="Y155" s="25" t="str">
        <f>B155&amp;" + "&amp;D155&amp;IF(F155&lt;&gt;""," + "&amp;F155,"")&amp;"-&gt;"&amp;J155&amp;" + "&amp;L155&amp;IF(N155&lt;&gt;""," + "&amp;N155,"")</f>
        <v>O+ + O2-&gt;O2+ + O</v>
      </c>
      <c r="Z155" s="29">
        <f>O155</f>
        <v>1.9900743804199785E-17</v>
      </c>
    </row>
    <row r="156" spans="1:26" ht="22.5" hidden="1" customHeight="1" x14ac:dyDescent="0.25">
      <c r="A156" s="1" t="s">
        <v>175</v>
      </c>
      <c r="B156" s="1" t="s">
        <v>678</v>
      </c>
      <c r="C156" s="2" t="s">
        <v>0</v>
      </c>
      <c r="D156" s="22" t="s">
        <v>723</v>
      </c>
      <c r="E156" s="2"/>
      <c r="F156" s="22"/>
      <c r="G156" s="4" t="s">
        <v>7</v>
      </c>
      <c r="H156" s="112" t="s">
        <v>1557</v>
      </c>
      <c r="I156" s="4" t="s">
        <v>7</v>
      </c>
      <c r="J156" s="122" t="s">
        <v>1402</v>
      </c>
      <c r="K156" s="2" t="s">
        <v>0</v>
      </c>
      <c r="L156" s="22" t="s">
        <v>649</v>
      </c>
      <c r="M156" s="2"/>
      <c r="N156" s="125"/>
      <c r="O156" s="126">
        <f>1*10^-16</f>
        <v>9.9999999999999998E-17</v>
      </c>
      <c r="P156" s="146">
        <v>9.9999999999999998E-17</v>
      </c>
      <c r="Q156" s="118" t="s">
        <v>1101</v>
      </c>
      <c r="R156" s="1"/>
      <c r="S156" s="1" t="s">
        <v>1049</v>
      </c>
      <c r="T156" s="1"/>
      <c r="U156" s="24" t="s">
        <v>691</v>
      </c>
      <c r="V156" s="116" t="b">
        <f>OR(B156=$V$1,D156=$V$1,B156="2"&amp;$V$1)</f>
        <v>0</v>
      </c>
      <c r="W156" s="1" t="b">
        <f>OR(J156=$W$1,L156=$W$1,N156=$W$1,J156="2"&amp;$W$1,L156="2"&amp;$W$1,N156="2"&amp;$W$1)</f>
        <v>0</v>
      </c>
      <c r="X156" s="25" t="s">
        <v>1607</v>
      </c>
      <c r="Y156" s="25" t="str">
        <f>B156&amp;" + "&amp;D156&amp;IF(F156&lt;&gt;""," + "&amp;F156,"")&amp;"-&gt;"&amp;J156&amp;" + "&amp;L156&amp;IF(N156&lt;&gt;""," + "&amp;N156,"")</f>
        <v>O+ + O3-&gt;O2+ + O2</v>
      </c>
      <c r="Z156" s="29">
        <f>O156</f>
        <v>9.9999999999999998E-17</v>
      </c>
    </row>
    <row r="157" spans="1:26" ht="22.5" hidden="1" customHeight="1" x14ac:dyDescent="0.25">
      <c r="A157" s="1" t="s">
        <v>176</v>
      </c>
      <c r="B157" s="1" t="s">
        <v>678</v>
      </c>
      <c r="C157" s="2" t="s">
        <v>0</v>
      </c>
      <c r="D157" s="22" t="s">
        <v>814</v>
      </c>
      <c r="E157" s="2"/>
      <c r="F157" s="22"/>
      <c r="G157" s="4" t="s">
        <v>7</v>
      </c>
      <c r="H157" s="112" t="s">
        <v>1557</v>
      </c>
      <c r="I157" s="4" t="s">
        <v>7</v>
      </c>
      <c r="J157" s="119" t="s">
        <v>645</v>
      </c>
      <c r="K157" s="2" t="s">
        <v>0</v>
      </c>
      <c r="L157" s="22" t="s">
        <v>639</v>
      </c>
      <c r="M157" s="2"/>
      <c r="N157" s="125"/>
      <c r="O157" s="126">
        <f>1.3*10^-16</f>
        <v>1.2999999999999999E-16</v>
      </c>
      <c r="P157" s="146">
        <v>1.2999999999999999E-16</v>
      </c>
      <c r="Q157" s="118" t="s">
        <v>1110</v>
      </c>
      <c r="R157" s="1"/>
      <c r="S157" s="1" t="s">
        <v>1049</v>
      </c>
      <c r="T157" s="1"/>
      <c r="U157" s="24" t="s">
        <v>691</v>
      </c>
      <c r="V157" s="116" t="b">
        <f>OR(B157=$V$1,D157=$V$1,B157="2"&amp;$V$1)</f>
        <v>0</v>
      </c>
      <c r="W157" s="1" t="b">
        <f>OR(J157=$W$1,L157=$W$1,N157=$W$1,J157="2"&amp;$W$1,L157="2"&amp;$W$1,N157="2"&amp;$W$1)</f>
        <v>0</v>
      </c>
      <c r="X157" s="25" t="s">
        <v>1607</v>
      </c>
      <c r="Y157" s="25" t="str">
        <f>B157&amp;" + "&amp;D157&amp;IF(F157&lt;&gt;""," + "&amp;F157,"")&amp;"-&gt;"&amp;J157&amp;" + "&amp;L157&amp;IF(N157&lt;&gt;""," + "&amp;N157,"")</f>
        <v>O+ + N(2D)-&gt;N+ + O</v>
      </c>
      <c r="Z157" s="29">
        <f>O157</f>
        <v>1.2999999999999999E-16</v>
      </c>
    </row>
    <row r="158" spans="1:26" ht="22.5" hidden="1" customHeight="1" x14ac:dyDescent="0.25">
      <c r="A158" s="1" t="s">
        <v>177</v>
      </c>
      <c r="B158" s="1" t="s">
        <v>678</v>
      </c>
      <c r="C158" s="2" t="s">
        <v>0</v>
      </c>
      <c r="D158" s="22" t="s">
        <v>688</v>
      </c>
      <c r="E158" s="2"/>
      <c r="F158" s="22"/>
      <c r="G158" s="4" t="s">
        <v>7</v>
      </c>
      <c r="H158" s="112" t="s">
        <v>1557</v>
      </c>
      <c r="I158" s="4" t="s">
        <v>7</v>
      </c>
      <c r="J158" s="119" t="s">
        <v>1264</v>
      </c>
      <c r="K158" s="2" t="s">
        <v>0</v>
      </c>
      <c r="L158" s="22" t="s">
        <v>639</v>
      </c>
      <c r="M158" s="2"/>
      <c r="N158" s="125"/>
      <c r="O158" s="126">
        <f>2.4*10^-17</f>
        <v>2.4000000000000002E-17</v>
      </c>
      <c r="P158" s="146">
        <v>1.0000000000000001E-18</v>
      </c>
      <c r="Q158" s="118" t="s">
        <v>1625</v>
      </c>
      <c r="R158" s="1"/>
      <c r="S158" s="1" t="s">
        <v>1049</v>
      </c>
      <c r="T158" s="1"/>
      <c r="U158" s="24" t="s">
        <v>691</v>
      </c>
      <c r="V158" s="116" t="b">
        <f>OR(B158=$V$1,D158=$V$1,B158="2"&amp;$V$1)</f>
        <v>0</v>
      </c>
      <c r="W158" s="1" t="b">
        <f>OR(J158=$W$1,L158=$W$1,N158=$W$1,J158="2"&amp;$W$1,L158="2"&amp;$W$1,N158="2"&amp;$W$1)</f>
        <v>0</v>
      </c>
      <c r="X158" s="25" t="s">
        <v>1607</v>
      </c>
      <c r="Y158" s="25" t="str">
        <f>B158&amp;" + "&amp;D158&amp;IF(F158&lt;&gt;""," + "&amp;F158,"")&amp;"-&gt;"&amp;J158&amp;" + "&amp;L158&amp;IF(N158&lt;&gt;""," + "&amp;N158,"")</f>
        <v>O+ + NO-&gt;NO+ + O</v>
      </c>
      <c r="Z158" s="29">
        <f>O158</f>
        <v>2.4000000000000002E-17</v>
      </c>
    </row>
    <row r="159" spans="1:26" ht="22.5" hidden="1" customHeight="1" x14ac:dyDescent="0.25">
      <c r="A159" s="1" t="s">
        <v>178</v>
      </c>
      <c r="B159" s="1" t="s">
        <v>678</v>
      </c>
      <c r="C159" s="2" t="s">
        <v>0</v>
      </c>
      <c r="D159" s="22" t="s">
        <v>688</v>
      </c>
      <c r="E159" s="2"/>
      <c r="F159" s="22"/>
      <c r="G159" s="4" t="s">
        <v>7</v>
      </c>
      <c r="H159" s="112" t="s">
        <v>1557</v>
      </c>
      <c r="I159" s="4" t="s">
        <v>7</v>
      </c>
      <c r="J159" s="122" t="s">
        <v>1402</v>
      </c>
      <c r="K159" s="2" t="s">
        <v>0</v>
      </c>
      <c r="L159" s="22" t="s">
        <v>636</v>
      </c>
      <c r="M159" s="2"/>
      <c r="N159" s="125"/>
      <c r="O159" s="126">
        <f>3*10^-18</f>
        <v>3.0000000000000002E-18</v>
      </c>
      <c r="P159" s="146">
        <v>3.0000000000000002E-18</v>
      </c>
      <c r="Q159" s="118" t="s">
        <v>1111</v>
      </c>
      <c r="R159" s="1"/>
      <c r="S159" s="1" t="s">
        <v>1049</v>
      </c>
      <c r="T159" s="1"/>
      <c r="U159" s="24" t="s">
        <v>690</v>
      </c>
      <c r="V159" s="116" t="b">
        <f>OR(B159=$V$1,D159=$V$1,B159="2"&amp;$V$1)</f>
        <v>0</v>
      </c>
      <c r="W159" s="1" t="b">
        <f>OR(J159=$W$1,L159=$W$1,N159=$W$1,J159="2"&amp;$W$1,L159="2"&amp;$W$1,N159="2"&amp;$W$1)</f>
        <v>0</v>
      </c>
      <c r="X159" s="25" t="s">
        <v>1607</v>
      </c>
      <c r="Y159" s="25" t="str">
        <f>B159&amp;" + "&amp;D159&amp;IF(F159&lt;&gt;""," + "&amp;F159,"")&amp;"-&gt;"&amp;J159&amp;" + "&amp;L159&amp;IF(N159&lt;&gt;""," + "&amp;N159,"")</f>
        <v>O+ + NO-&gt;O2+ + N</v>
      </c>
      <c r="Z159" s="29">
        <f>O159</f>
        <v>3.0000000000000002E-18</v>
      </c>
    </row>
    <row r="160" spans="1:26" ht="22.5" hidden="1" customHeight="1" x14ac:dyDescent="0.25">
      <c r="A160" s="1" t="s">
        <v>179</v>
      </c>
      <c r="B160" s="1" t="s">
        <v>678</v>
      </c>
      <c r="C160" s="2" t="s">
        <v>0</v>
      </c>
      <c r="D160" s="22" t="s">
        <v>738</v>
      </c>
      <c r="E160" s="2"/>
      <c r="F160" s="22"/>
      <c r="G160" s="4" t="s">
        <v>7</v>
      </c>
      <c r="H160" s="112" t="s">
        <v>1557</v>
      </c>
      <c r="I160" s="4" t="s">
        <v>7</v>
      </c>
      <c r="J160" s="119" t="s">
        <v>1265</v>
      </c>
      <c r="K160" s="2" t="s">
        <v>0</v>
      </c>
      <c r="L160" s="22" t="s">
        <v>639</v>
      </c>
      <c r="M160" s="2"/>
      <c r="N160" s="125"/>
      <c r="O160" s="126">
        <f>2.2*10^-16</f>
        <v>2.2000000000000002E-16</v>
      </c>
      <c r="P160" s="146">
        <v>6.2999999999999998E-16</v>
      </c>
      <c r="Q160" s="118" t="s">
        <v>1208</v>
      </c>
      <c r="R160" s="1"/>
      <c r="S160" s="1" t="s">
        <v>1049</v>
      </c>
      <c r="T160" s="1"/>
      <c r="U160" s="24" t="s">
        <v>691</v>
      </c>
      <c r="V160" s="116" t="b">
        <f>OR(B160=$V$1,D160=$V$1,B160="2"&amp;$V$1)</f>
        <v>0</v>
      </c>
      <c r="W160" s="1" t="b">
        <f>OR(J160=$W$1,L160=$W$1,N160=$W$1,J160="2"&amp;$W$1,L160="2"&amp;$W$1,N160="2"&amp;$W$1)</f>
        <v>0</v>
      </c>
      <c r="X160" s="25" t="s">
        <v>1607</v>
      </c>
      <c r="Y160" s="25" t="str">
        <f>B160&amp;" + "&amp;D160&amp;IF(F160&lt;&gt;""," + "&amp;F160,"")&amp;"-&gt;"&amp;J160&amp;" + "&amp;L160&amp;IF(N160&lt;&gt;""," + "&amp;N160,"")</f>
        <v>O+ + N2O-&gt;N2O+ + O</v>
      </c>
      <c r="Z160" s="29">
        <f>O160</f>
        <v>2.2000000000000002E-16</v>
      </c>
    </row>
    <row r="161" spans="1:26" ht="22.5" hidden="1" customHeight="1" x14ac:dyDescent="0.25">
      <c r="A161" s="1" t="s">
        <v>180</v>
      </c>
      <c r="B161" s="1" t="s">
        <v>678</v>
      </c>
      <c r="C161" s="2" t="s">
        <v>0</v>
      </c>
      <c r="D161" s="22" t="s">
        <v>738</v>
      </c>
      <c r="E161" s="2"/>
      <c r="F161" s="22"/>
      <c r="G161" s="4" t="s">
        <v>7</v>
      </c>
      <c r="H161" s="112" t="s">
        <v>1557</v>
      </c>
      <c r="I161" s="4" t="s">
        <v>7</v>
      </c>
      <c r="J161" s="119" t="s">
        <v>1264</v>
      </c>
      <c r="K161" s="2" t="s">
        <v>0</v>
      </c>
      <c r="L161" s="22" t="s">
        <v>688</v>
      </c>
      <c r="M161" s="2"/>
      <c r="N161" s="125"/>
      <c r="O161" s="126">
        <f>2.3*10^-16</f>
        <v>2.2999999999999999E-16</v>
      </c>
      <c r="P161" s="146">
        <v>2.2999999999999999E-16</v>
      </c>
      <c r="Q161" s="118" t="s">
        <v>1112</v>
      </c>
      <c r="R161" s="1"/>
      <c r="S161" s="1" t="s">
        <v>1049</v>
      </c>
      <c r="T161" s="1"/>
      <c r="U161" s="24" t="s">
        <v>691</v>
      </c>
      <c r="V161" s="116" t="b">
        <f>OR(B161=$V$1,D161=$V$1,B161="2"&amp;$V$1)</f>
        <v>0</v>
      </c>
      <c r="W161" s="1" t="b">
        <f>OR(J161=$W$1,L161=$W$1,N161=$W$1,J161="2"&amp;$W$1,L161="2"&amp;$W$1,N161="2"&amp;$W$1)</f>
        <v>0</v>
      </c>
      <c r="X161" s="25" t="s">
        <v>1607</v>
      </c>
      <c r="Y161" s="25" t="str">
        <f>B161&amp;" + "&amp;D161&amp;IF(F161&lt;&gt;""," + "&amp;F161,"")&amp;"-&gt;"&amp;J161&amp;" + "&amp;L161&amp;IF(N161&lt;&gt;""," + "&amp;N161,"")</f>
        <v>O+ + N2O-&gt;NO+ + NO</v>
      </c>
      <c r="Z161" s="29">
        <f>O161</f>
        <v>2.2999999999999999E-16</v>
      </c>
    </row>
    <row r="162" spans="1:26" ht="22.5" hidden="1" customHeight="1" x14ac:dyDescent="0.25">
      <c r="A162" s="1" t="s">
        <v>181</v>
      </c>
      <c r="B162" s="1" t="s">
        <v>678</v>
      </c>
      <c r="C162" s="2" t="s">
        <v>0</v>
      </c>
      <c r="D162" s="22" t="s">
        <v>738</v>
      </c>
      <c r="E162" s="2"/>
      <c r="F162" s="22"/>
      <c r="G162" s="4" t="s">
        <v>7</v>
      </c>
      <c r="H162" s="112" t="s">
        <v>1557</v>
      </c>
      <c r="I162" s="4" t="s">
        <v>7</v>
      </c>
      <c r="J162" s="122" t="s">
        <v>1402</v>
      </c>
      <c r="K162" s="2" t="s">
        <v>0</v>
      </c>
      <c r="L162" s="22" t="s">
        <v>689</v>
      </c>
      <c r="M162" s="2"/>
      <c r="N162" s="125"/>
      <c r="O162" s="126">
        <f>2*10^-17</f>
        <v>2.0000000000000001E-17</v>
      </c>
      <c r="P162" s="146">
        <v>2.0000000000000001E-17</v>
      </c>
      <c r="Q162" s="118" t="s">
        <v>1104</v>
      </c>
      <c r="R162" s="1"/>
      <c r="S162" s="1" t="s">
        <v>1049</v>
      </c>
      <c r="T162" s="1"/>
      <c r="U162" s="24" t="s">
        <v>691</v>
      </c>
      <c r="V162" s="116" t="b">
        <f>OR(B162=$V$1,D162=$V$1,B162="2"&amp;$V$1)</f>
        <v>0</v>
      </c>
      <c r="W162" s="1" t="b">
        <f>OR(J162=$W$1,L162=$W$1,N162=$W$1,J162="2"&amp;$W$1,L162="2"&amp;$W$1,N162="2"&amp;$W$1)</f>
        <v>0</v>
      </c>
      <c r="X162" s="25" t="s">
        <v>1607</v>
      </c>
      <c r="Y162" s="25" t="str">
        <f>B162&amp;" + "&amp;D162&amp;IF(F162&lt;&gt;""," + "&amp;F162,"")&amp;"-&gt;"&amp;J162&amp;" + "&amp;L162&amp;IF(N162&lt;&gt;""," + "&amp;N162,"")</f>
        <v>O+ + N2O-&gt;O2+ + N2</v>
      </c>
      <c r="Z162" s="29">
        <f>O162</f>
        <v>2.0000000000000001E-17</v>
      </c>
    </row>
    <row r="163" spans="1:26" ht="22.5" hidden="1" customHeight="1" x14ac:dyDescent="0.25">
      <c r="A163" s="1" t="s">
        <v>182</v>
      </c>
      <c r="B163" s="1" t="s">
        <v>678</v>
      </c>
      <c r="C163" s="2" t="s">
        <v>0</v>
      </c>
      <c r="D163" s="22" t="s">
        <v>739</v>
      </c>
      <c r="E163" s="2"/>
      <c r="F163" s="22"/>
      <c r="G163" s="4" t="s">
        <v>7</v>
      </c>
      <c r="H163" s="112" t="s">
        <v>1557</v>
      </c>
      <c r="I163" s="4" t="s">
        <v>7</v>
      </c>
      <c r="J163" s="119" t="s">
        <v>1264</v>
      </c>
      <c r="K163" s="2" t="s">
        <v>0</v>
      </c>
      <c r="L163" s="22" t="s">
        <v>649</v>
      </c>
      <c r="M163" s="2"/>
      <c r="N163" s="125"/>
      <c r="O163" s="126">
        <f>5*10^-16</f>
        <v>5.0000000000000004E-16</v>
      </c>
      <c r="P163" s="146">
        <v>5.0000000000000004E-16</v>
      </c>
      <c r="Q163" s="118" t="s">
        <v>1078</v>
      </c>
      <c r="R163" s="1"/>
      <c r="S163" s="1" t="s">
        <v>1049</v>
      </c>
      <c r="T163" s="1"/>
      <c r="U163" s="24" t="s">
        <v>756</v>
      </c>
      <c r="V163" s="116" t="b">
        <f>OR(B163=$V$1,D163=$V$1,B163="2"&amp;$V$1)</f>
        <v>0</v>
      </c>
      <c r="W163" s="1" t="b">
        <f>OR(J163=$W$1,L163=$W$1,N163=$W$1,J163="2"&amp;$W$1,L163="2"&amp;$W$1,N163="2"&amp;$W$1)</f>
        <v>0</v>
      </c>
      <c r="X163" s="25" t="s">
        <v>1607</v>
      </c>
      <c r="Y163" s="25" t="str">
        <f>B163&amp;" + "&amp;D163&amp;IF(F163&lt;&gt;""," + "&amp;F163,"")&amp;"-&gt;"&amp;J163&amp;" + "&amp;L163&amp;IF(N163&lt;&gt;""," + "&amp;N163,"")</f>
        <v>O+ + NO2-&gt;NO+ + O2</v>
      </c>
      <c r="Z163" s="29">
        <f>O163</f>
        <v>5.0000000000000004E-16</v>
      </c>
    </row>
    <row r="164" spans="1:26" ht="22.5" hidden="1" customHeight="1" x14ac:dyDescent="0.25">
      <c r="A164" s="1" t="s">
        <v>183</v>
      </c>
      <c r="B164" s="1" t="s">
        <v>678</v>
      </c>
      <c r="C164" s="2" t="s">
        <v>0</v>
      </c>
      <c r="D164" s="22" t="s">
        <v>739</v>
      </c>
      <c r="E164" s="2"/>
      <c r="F164" s="22"/>
      <c r="G164" s="4" t="s">
        <v>7</v>
      </c>
      <c r="H164" s="112" t="s">
        <v>1557</v>
      </c>
      <c r="I164" s="4" t="s">
        <v>7</v>
      </c>
      <c r="J164" s="121" t="s">
        <v>1406</v>
      </c>
      <c r="K164" s="2" t="s">
        <v>0</v>
      </c>
      <c r="L164" s="22" t="s">
        <v>639</v>
      </c>
      <c r="M164" s="2"/>
      <c r="N164" s="125"/>
      <c r="O164" s="126">
        <f>1.6*10^-15</f>
        <v>1.6000000000000002E-15</v>
      </c>
      <c r="P164" s="146">
        <v>1.6000000000000002E-15</v>
      </c>
      <c r="Q164" s="118" t="s">
        <v>1113</v>
      </c>
      <c r="R164" s="1"/>
      <c r="S164" s="1" t="s">
        <v>1049</v>
      </c>
      <c r="T164" s="1"/>
      <c r="U164" s="24" t="s">
        <v>756</v>
      </c>
      <c r="V164" s="116" t="b">
        <f>OR(B164=$V$1,D164=$V$1,B164="2"&amp;$V$1)</f>
        <v>0</v>
      </c>
      <c r="W164" s="1" t="b">
        <f>OR(J164=$W$1,L164=$W$1,N164=$W$1,J164="2"&amp;$W$1,L164="2"&amp;$W$1,N164="2"&amp;$W$1)</f>
        <v>0</v>
      </c>
      <c r="X164" s="25" t="s">
        <v>1607</v>
      </c>
      <c r="Y164" s="25" t="str">
        <f>B164&amp;" + "&amp;D164&amp;IF(F164&lt;&gt;""," + "&amp;F164,"")&amp;"-&gt;"&amp;J164&amp;" + "&amp;L164&amp;IF(N164&lt;&gt;""," + "&amp;N164,"")</f>
        <v>O+ + NO2-&gt;NO2+ + O</v>
      </c>
      <c r="Z164" s="29">
        <f>O164</f>
        <v>1.6000000000000002E-15</v>
      </c>
    </row>
    <row r="165" spans="1:26" ht="22.5" hidden="1" customHeight="1" x14ac:dyDescent="0.25">
      <c r="A165" s="1" t="s">
        <v>184</v>
      </c>
      <c r="B165" s="1" t="s">
        <v>678</v>
      </c>
      <c r="C165" s="2" t="s">
        <v>0</v>
      </c>
      <c r="D165" s="22" t="s">
        <v>653</v>
      </c>
      <c r="E165" s="2"/>
      <c r="F165" s="22"/>
      <c r="G165" s="4" t="s">
        <v>7</v>
      </c>
      <c r="H165" s="112" t="s">
        <v>1557</v>
      </c>
      <c r="I165" s="4" t="s">
        <v>7</v>
      </c>
      <c r="J165" s="119" t="s">
        <v>1258</v>
      </c>
      <c r="K165" s="2" t="s">
        <v>0</v>
      </c>
      <c r="L165" s="22" t="s">
        <v>639</v>
      </c>
      <c r="M165" s="2"/>
      <c r="N165" s="125"/>
      <c r="O165" s="126">
        <f>6.8*10^-16</f>
        <v>6.8000000000000001E-16</v>
      </c>
      <c r="P165" s="146">
        <v>6.8000000000000001E-16</v>
      </c>
      <c r="Q165" s="118" t="s">
        <v>1114</v>
      </c>
      <c r="R165" s="1"/>
      <c r="S165" s="1" t="s">
        <v>1049</v>
      </c>
      <c r="T165" s="1"/>
      <c r="U165" s="24" t="s">
        <v>691</v>
      </c>
      <c r="V165" s="116" t="b">
        <f>OR(B165=$V$1,D165=$V$1,B165="2"&amp;$V$1)</f>
        <v>0</v>
      </c>
      <c r="W165" s="1" t="b">
        <f>OR(J165=$W$1,L165=$W$1,N165=$W$1,J165="2"&amp;$W$1,L165="2"&amp;$W$1,N165="2"&amp;$W$1)</f>
        <v>0</v>
      </c>
      <c r="X165" s="25" t="s">
        <v>1607</v>
      </c>
      <c r="Y165" s="25" t="str">
        <f>B165&amp;" + "&amp;D165&amp;IF(F165&lt;&gt;""," + "&amp;F165,"")&amp;"-&gt;"&amp;J165&amp;" + "&amp;L165&amp;IF(N165&lt;&gt;""," + "&amp;N165,"")</f>
        <v>O+ + H-&gt;H+ + O</v>
      </c>
      <c r="Z165" s="29">
        <f>O165</f>
        <v>6.8000000000000001E-16</v>
      </c>
    </row>
    <row r="166" spans="1:26" ht="22.5" hidden="1" customHeight="1" x14ac:dyDescent="0.25">
      <c r="A166" s="1" t="s">
        <v>185</v>
      </c>
      <c r="B166" s="1" t="s">
        <v>678</v>
      </c>
      <c r="C166" s="2" t="s">
        <v>0</v>
      </c>
      <c r="D166" s="3" t="s">
        <v>640</v>
      </c>
      <c r="E166" s="2"/>
      <c r="F166" s="22"/>
      <c r="G166" s="4" t="s">
        <v>7</v>
      </c>
      <c r="H166" s="112" t="s">
        <v>1557</v>
      </c>
      <c r="I166" s="4" t="s">
        <v>7</v>
      </c>
      <c r="J166" s="119" t="s">
        <v>1257</v>
      </c>
      <c r="K166" s="2" t="s">
        <v>0</v>
      </c>
      <c r="L166" s="22" t="s">
        <v>653</v>
      </c>
      <c r="M166" s="2"/>
      <c r="N166" s="125"/>
      <c r="O166" s="126">
        <f>1.7*10^-15</f>
        <v>1.7E-15</v>
      </c>
      <c r="P166" s="146">
        <v>1.7E-15</v>
      </c>
      <c r="Q166" s="118" t="s">
        <v>1115</v>
      </c>
      <c r="R166" s="1"/>
      <c r="S166" s="1" t="s">
        <v>1049</v>
      </c>
      <c r="T166" s="1"/>
      <c r="U166" s="24" t="s">
        <v>691</v>
      </c>
      <c r="V166" s="116" t="b">
        <f>OR(B166=$V$1,D166=$V$1,B166="2"&amp;$V$1)</f>
        <v>0</v>
      </c>
      <c r="W166" s="1" t="b">
        <f>OR(J166=$W$1,L166=$W$1,N166=$W$1,J166="2"&amp;$W$1,L166="2"&amp;$W$1,N166="2"&amp;$W$1)</f>
        <v>0</v>
      </c>
      <c r="X166" s="25" t="s">
        <v>1607</v>
      </c>
      <c r="Y166" s="25" t="str">
        <f>B166&amp;" + "&amp;D166&amp;IF(F166&lt;&gt;""," + "&amp;F166,"")&amp;"-&gt;"&amp;J166&amp;" + "&amp;L166&amp;IF(N166&lt;&gt;""," + "&amp;N166,"")</f>
        <v>O+ + H2-&gt;OH+ + H</v>
      </c>
      <c r="Z166" s="29">
        <f>O166</f>
        <v>1.7E-15</v>
      </c>
    </row>
    <row r="167" spans="1:26" ht="22.5" hidden="1" customHeight="1" x14ac:dyDescent="0.25">
      <c r="A167" s="1" t="s">
        <v>186</v>
      </c>
      <c r="B167" s="1" t="s">
        <v>678</v>
      </c>
      <c r="C167" s="2" t="s">
        <v>0</v>
      </c>
      <c r="D167" s="22" t="s">
        <v>654</v>
      </c>
      <c r="E167" s="2"/>
      <c r="F167" s="22"/>
      <c r="G167" s="4" t="s">
        <v>7</v>
      </c>
      <c r="H167" s="112" t="s">
        <v>1557</v>
      </c>
      <c r="I167" s="4" t="s">
        <v>7</v>
      </c>
      <c r="J167" s="119" t="s">
        <v>1257</v>
      </c>
      <c r="K167" s="2" t="s">
        <v>0</v>
      </c>
      <c r="L167" s="22" t="s">
        <v>639</v>
      </c>
      <c r="M167" s="2"/>
      <c r="N167" s="125"/>
      <c r="O167" s="126">
        <f>3.3*10^-16</f>
        <v>3.2999999999999999E-16</v>
      </c>
      <c r="P167" s="146">
        <v>3.2999999999999999E-16</v>
      </c>
      <c r="Q167" s="118" t="s">
        <v>1116</v>
      </c>
      <c r="R167" s="1"/>
      <c r="S167" s="1" t="s">
        <v>1049</v>
      </c>
      <c r="T167" s="1"/>
      <c r="U167" s="24" t="s">
        <v>807</v>
      </c>
      <c r="V167" s="116" t="b">
        <f>OR(B167=$V$1,D167=$V$1,B167="2"&amp;$V$1)</f>
        <v>0</v>
      </c>
      <c r="W167" s="1" t="b">
        <f>OR(J167=$W$1,L167=$W$1,N167=$W$1,J167="2"&amp;$W$1,L167="2"&amp;$W$1,N167="2"&amp;$W$1)</f>
        <v>0</v>
      </c>
      <c r="Y167" s="25" t="str">
        <f>B167&amp;" + "&amp;D167&amp;IF(F167&lt;&gt;""," + "&amp;F167,"")&amp;"-&gt;"&amp;J167&amp;" + "&amp;L167&amp;IF(N167&lt;&gt;""," + "&amp;N167,"")</f>
        <v>O+ + OH-&gt;OH+ + O</v>
      </c>
      <c r="Z167" s="29">
        <f>O167</f>
        <v>3.2999999999999999E-16</v>
      </c>
    </row>
    <row r="168" spans="1:26" ht="22.5" hidden="1" customHeight="1" x14ac:dyDescent="0.25">
      <c r="A168" s="1" t="s">
        <v>187</v>
      </c>
      <c r="B168" s="1" t="s">
        <v>678</v>
      </c>
      <c r="C168" s="2" t="s">
        <v>0</v>
      </c>
      <c r="D168" s="22" t="s">
        <v>654</v>
      </c>
      <c r="E168" s="2"/>
      <c r="F168" s="22"/>
      <c r="G168" s="4" t="s">
        <v>7</v>
      </c>
      <c r="H168" s="112" t="s">
        <v>1557</v>
      </c>
      <c r="I168" s="4" t="s">
        <v>7</v>
      </c>
      <c r="J168" s="122" t="s">
        <v>1402</v>
      </c>
      <c r="K168" s="2" t="s">
        <v>0</v>
      </c>
      <c r="L168" s="22" t="s">
        <v>653</v>
      </c>
      <c r="M168" s="2"/>
      <c r="N168" s="125"/>
      <c r="O168" s="126">
        <f>3.6*10^-16</f>
        <v>3.5999999999999998E-16</v>
      </c>
      <c r="P168" s="146">
        <v>3.5999999999999998E-16</v>
      </c>
      <c r="Q168" s="118" t="s">
        <v>1117</v>
      </c>
      <c r="R168" s="1"/>
      <c r="S168" s="1" t="s">
        <v>1049</v>
      </c>
      <c r="T168" s="1"/>
      <c r="U168" s="24" t="s">
        <v>807</v>
      </c>
      <c r="V168" s="116" t="b">
        <f>OR(B168=$V$1,D168=$V$1,B168="2"&amp;$V$1)</f>
        <v>0</v>
      </c>
      <c r="W168" s="1" t="b">
        <f>OR(J168=$W$1,L168=$W$1,N168=$W$1,J168="2"&amp;$W$1,L168="2"&amp;$W$1,N168="2"&amp;$W$1)</f>
        <v>0</v>
      </c>
      <c r="Y168" s="25" t="str">
        <f>B168&amp;" + "&amp;D168&amp;IF(F168&lt;&gt;""," + "&amp;F168,"")&amp;"-&gt;"&amp;J168&amp;" + "&amp;L168&amp;IF(N168&lt;&gt;""," + "&amp;N168,"")</f>
        <v>O+ + OH-&gt;O2+ + H</v>
      </c>
      <c r="Z168" s="29">
        <f>O168</f>
        <v>3.5999999999999998E-16</v>
      </c>
    </row>
    <row r="169" spans="1:26" ht="22.5" hidden="1" customHeight="1" x14ac:dyDescent="0.25">
      <c r="A169" s="1" t="s">
        <v>188</v>
      </c>
      <c r="B169" s="1" t="s">
        <v>678</v>
      </c>
      <c r="C169" s="2" t="s">
        <v>0</v>
      </c>
      <c r="D169" s="3" t="s">
        <v>641</v>
      </c>
      <c r="E169" s="2"/>
      <c r="F169" s="22"/>
      <c r="G169" s="4" t="s">
        <v>7</v>
      </c>
      <c r="H169" s="112" t="s">
        <v>1557</v>
      </c>
      <c r="I169" s="4" t="s">
        <v>7</v>
      </c>
      <c r="J169" s="119" t="s">
        <v>1256</v>
      </c>
      <c r="K169" s="2" t="s">
        <v>0</v>
      </c>
      <c r="L169" s="22" t="s">
        <v>639</v>
      </c>
      <c r="M169" s="2"/>
      <c r="N169" s="125"/>
      <c r="O169" s="126">
        <f>3.2*10^-15</f>
        <v>3.2000000000000003E-15</v>
      </c>
      <c r="P169" s="146">
        <v>3.2000000000000003E-15</v>
      </c>
      <c r="Q169" s="118" t="s">
        <v>1118</v>
      </c>
      <c r="R169" s="1"/>
      <c r="S169" s="1" t="s">
        <v>1049</v>
      </c>
      <c r="T169" s="1"/>
      <c r="U169" s="24" t="s">
        <v>691</v>
      </c>
      <c r="V169" s="116" t="b">
        <f>OR(B169=$V$1,D169=$V$1,B169="2"&amp;$V$1)</f>
        <v>0</v>
      </c>
      <c r="W169" s="1" t="b">
        <f>OR(J169=$W$1,L169=$W$1,N169=$W$1,J169="2"&amp;$W$1,L169="2"&amp;$W$1,N169="2"&amp;$W$1)</f>
        <v>0</v>
      </c>
      <c r="X169" s="25" t="s">
        <v>1607</v>
      </c>
      <c r="Y169" s="25" t="str">
        <f>B169&amp;" + "&amp;D169&amp;IF(F169&lt;&gt;""," + "&amp;F169,"")&amp;"-&gt;"&amp;J169&amp;" + "&amp;L169&amp;IF(N169&lt;&gt;""," + "&amp;N169,"")</f>
        <v>O+ + H2O-&gt;H2O+ + O</v>
      </c>
      <c r="Z169" s="29">
        <f>O169</f>
        <v>3.2000000000000003E-15</v>
      </c>
    </row>
    <row r="170" spans="1:26" ht="22.5" hidden="1" customHeight="1" x14ac:dyDescent="0.25">
      <c r="A170" s="1" t="s">
        <v>189</v>
      </c>
      <c r="B170" s="1" t="s">
        <v>1389</v>
      </c>
      <c r="C170" s="2" t="s">
        <v>0</v>
      </c>
      <c r="D170" s="1" t="s">
        <v>649</v>
      </c>
      <c r="E170" s="2" t="s">
        <v>0</v>
      </c>
      <c r="F170" s="22" t="s">
        <v>1566</v>
      </c>
      <c r="G170" s="4" t="s">
        <v>7</v>
      </c>
      <c r="H170" s="112" t="s">
        <v>1630</v>
      </c>
      <c r="I170" s="4" t="s">
        <v>7</v>
      </c>
      <c r="J170" s="119" t="s">
        <v>1407</v>
      </c>
      <c r="K170" s="2" t="s">
        <v>0</v>
      </c>
      <c r="L170" s="22" t="s">
        <v>687</v>
      </c>
      <c r="M170" s="2"/>
      <c r="N170" s="125"/>
      <c r="O170" s="126">
        <f>2.4*10^-42*(300/Teff)^3.2*NM</f>
        <v>6.2769202342654522E-17</v>
      </c>
      <c r="P170" s="146">
        <v>1.4456353000389851E-17</v>
      </c>
      <c r="Q170" s="118" t="s">
        <v>1643</v>
      </c>
      <c r="R170" s="1"/>
      <c r="S170" s="1" t="s">
        <v>1049</v>
      </c>
      <c r="T170" s="1"/>
      <c r="U170" s="24" t="s">
        <v>691</v>
      </c>
      <c r="V170" s="116" t="b">
        <f>OR(B170=$V$1,D170=$V$1,B170="2"&amp;$V$1)</f>
        <v>0</v>
      </c>
      <c r="W170" s="1" t="b">
        <f>OR(J170=$W$1,L170=$W$1,N170=$W$1,J170="2"&amp;$W$1,L170="2"&amp;$W$1,N170="2"&amp;$W$1)</f>
        <v>0</v>
      </c>
      <c r="X170" s="25" t="s">
        <v>1607</v>
      </c>
      <c r="Y170" s="25" t="str">
        <f>B170&amp;" + "&amp;D170&amp;IF(F170&lt;&gt;""," + "&amp;F170,"")&amp;"-&gt;"&amp;J170&amp;" + "&amp;L170&amp;IF(N170&lt;&gt;""," + "&amp;N170,"")</f>
        <v>O2+ + O2 + O2-&gt;O4+ + M</v>
      </c>
      <c r="Z170" s="29">
        <f>O170</f>
        <v>6.2769202342654522E-17</v>
      </c>
    </row>
    <row r="171" spans="1:26" ht="22.5" hidden="1" customHeight="1" x14ac:dyDescent="0.25">
      <c r="A171" s="1" t="s">
        <v>190</v>
      </c>
      <c r="B171" s="1" t="s">
        <v>1389</v>
      </c>
      <c r="C171" s="2" t="s">
        <v>0</v>
      </c>
      <c r="D171" s="22" t="s">
        <v>636</v>
      </c>
      <c r="E171" s="2"/>
      <c r="F171" s="22"/>
      <c r="G171" s="4" t="s">
        <v>7</v>
      </c>
      <c r="H171" s="112" t="s">
        <v>1557</v>
      </c>
      <c r="I171" s="4" t="s">
        <v>7</v>
      </c>
      <c r="J171" s="119" t="s">
        <v>1264</v>
      </c>
      <c r="K171" s="2" t="s">
        <v>0</v>
      </c>
      <c r="L171" s="22" t="s">
        <v>639</v>
      </c>
      <c r="M171" s="2"/>
      <c r="N171" s="125"/>
      <c r="O171" s="126">
        <f>1.2*10^-16</f>
        <v>1.2E-16</v>
      </c>
      <c r="P171" s="146">
        <v>1.5E-16</v>
      </c>
      <c r="Q171" s="118" t="s">
        <v>1202</v>
      </c>
      <c r="R171" s="1"/>
      <c r="S171" s="1" t="s">
        <v>1049</v>
      </c>
      <c r="T171" s="1"/>
      <c r="U171" s="24" t="s">
        <v>691</v>
      </c>
      <c r="V171" s="116" t="b">
        <f>OR(B171=$V$1,D171=$V$1,B171="2"&amp;$V$1)</f>
        <v>0</v>
      </c>
      <c r="W171" s="1" t="b">
        <f>OR(J171=$W$1,L171=$W$1,N171=$W$1,J171="2"&amp;$W$1,L171="2"&amp;$W$1,N171="2"&amp;$W$1)</f>
        <v>0</v>
      </c>
      <c r="X171" s="25" t="s">
        <v>1607</v>
      </c>
      <c r="Y171" s="25" t="str">
        <f>B171&amp;" + "&amp;D171&amp;IF(F171&lt;&gt;""," + "&amp;F171,"")&amp;"-&gt;"&amp;J171&amp;" + "&amp;L171&amp;IF(N171&lt;&gt;""," + "&amp;N171,"")</f>
        <v>O2+ + N-&gt;NO+ + O</v>
      </c>
      <c r="Z171" s="29">
        <f>O171</f>
        <v>1.2E-16</v>
      </c>
    </row>
    <row r="172" spans="1:26" ht="22.5" hidden="1" customHeight="1" x14ac:dyDescent="0.25">
      <c r="A172" s="1" t="s">
        <v>191</v>
      </c>
      <c r="B172" s="1" t="s">
        <v>1389</v>
      </c>
      <c r="C172" s="2" t="s">
        <v>0</v>
      </c>
      <c r="D172" s="22" t="s">
        <v>689</v>
      </c>
      <c r="E172" s="2"/>
      <c r="F172" s="22"/>
      <c r="G172" s="4" t="s">
        <v>7</v>
      </c>
      <c r="H172" s="112" t="s">
        <v>1557</v>
      </c>
      <c r="I172" s="4" t="s">
        <v>7</v>
      </c>
      <c r="J172" s="119" t="s">
        <v>1264</v>
      </c>
      <c r="K172" s="2" t="s">
        <v>0</v>
      </c>
      <c r="L172" s="22" t="s">
        <v>688</v>
      </c>
      <c r="M172" s="2"/>
      <c r="N172" s="125"/>
      <c r="O172" s="126">
        <f>1*10^-23</f>
        <v>1.0000000000000001E-23</v>
      </c>
      <c r="P172" s="146">
        <v>1.0000000000000001E-23</v>
      </c>
      <c r="Q172" s="118" t="s">
        <v>1119</v>
      </c>
      <c r="R172" s="1"/>
      <c r="S172" s="1" t="s">
        <v>1049</v>
      </c>
      <c r="T172" s="1"/>
      <c r="U172" s="24" t="s">
        <v>691</v>
      </c>
      <c r="V172" s="116" t="b">
        <f>OR(B172=$V$1,D172=$V$1,B172="2"&amp;$V$1)</f>
        <v>0</v>
      </c>
      <c r="W172" s="1" t="b">
        <f>OR(J172=$W$1,L172=$W$1,N172=$W$1,J172="2"&amp;$W$1,L172="2"&amp;$W$1,N172="2"&amp;$W$1)</f>
        <v>0</v>
      </c>
      <c r="X172" s="25" t="s">
        <v>1607</v>
      </c>
      <c r="Y172" s="25" t="str">
        <f>B172&amp;" + "&amp;D172&amp;IF(F172&lt;&gt;""," + "&amp;F172,"")&amp;"-&gt;"&amp;J172&amp;" + "&amp;L172&amp;IF(N172&lt;&gt;""," + "&amp;N172,"")</f>
        <v>O2+ + N2-&gt;NO+ + NO</v>
      </c>
      <c r="Z172" s="29">
        <f>O172</f>
        <v>1.0000000000000001E-23</v>
      </c>
    </row>
    <row r="173" spans="1:26" ht="22.5" hidden="1" customHeight="1" x14ac:dyDescent="0.25">
      <c r="A173" s="1" t="s">
        <v>192</v>
      </c>
      <c r="B173" s="1" t="s">
        <v>1389</v>
      </c>
      <c r="C173" s="2" t="s">
        <v>0</v>
      </c>
      <c r="D173" s="22" t="s">
        <v>674</v>
      </c>
      <c r="E173" s="2"/>
      <c r="F173" s="22"/>
      <c r="G173" s="4" t="s">
        <v>7</v>
      </c>
      <c r="H173" s="112" t="s">
        <v>1557</v>
      </c>
      <c r="I173" s="4" t="s">
        <v>7</v>
      </c>
      <c r="J173" s="121" t="s">
        <v>1406</v>
      </c>
      <c r="K173" s="2" t="s">
        <v>0</v>
      </c>
      <c r="L173" s="22" t="s">
        <v>740</v>
      </c>
      <c r="M173" s="2" t="s">
        <v>0</v>
      </c>
      <c r="N173" s="125" t="s">
        <v>649</v>
      </c>
      <c r="O173" s="126">
        <f>8.8*10^-16</f>
        <v>8.800000000000001E-16</v>
      </c>
      <c r="P173" s="146">
        <v>8.800000000000001E-16</v>
      </c>
      <c r="Q173" s="118" t="s">
        <v>1120</v>
      </c>
      <c r="R173" s="1"/>
      <c r="S173" s="1" t="s">
        <v>1049</v>
      </c>
      <c r="T173" s="1"/>
      <c r="U173" s="24" t="s">
        <v>756</v>
      </c>
      <c r="V173" s="116" t="b">
        <f>OR(B173=$V$1,D173=$V$1,B173="2"&amp;$V$1)</f>
        <v>0</v>
      </c>
      <c r="W173" s="1" t="b">
        <f>OR(J173=$W$1,L173=$W$1,N173=$W$1,J173="2"&amp;$W$1,L173="2"&amp;$W$1,N173="2"&amp;$W$1)</f>
        <v>0</v>
      </c>
      <c r="X173" s="25" t="s">
        <v>1607</v>
      </c>
      <c r="Y173" s="25" t="str">
        <f>B173&amp;" + "&amp;D173&amp;IF(F173&lt;&gt;""," + "&amp;F173,"")&amp;"-&gt;"&amp;J173&amp;" + "&amp;L173&amp;IF(N173&lt;&gt;""," + "&amp;N173,"")</f>
        <v>O2+ + N2O5-&gt;NO2+ + NO3 + O2</v>
      </c>
      <c r="Z173" s="29">
        <f>O173</f>
        <v>8.800000000000001E-16</v>
      </c>
    </row>
    <row r="174" spans="1:26" ht="22.5" hidden="1" customHeight="1" x14ac:dyDescent="0.25">
      <c r="A174" s="1" t="s">
        <v>193</v>
      </c>
      <c r="B174" s="1" t="s">
        <v>1389</v>
      </c>
      <c r="C174" s="2" t="s">
        <v>0</v>
      </c>
      <c r="D174" s="22" t="s">
        <v>688</v>
      </c>
      <c r="E174" s="2"/>
      <c r="F174" s="22"/>
      <c r="G174" s="4" t="s">
        <v>7</v>
      </c>
      <c r="H174" s="112" t="s">
        <v>1557</v>
      </c>
      <c r="I174" s="4" t="s">
        <v>7</v>
      </c>
      <c r="J174" s="119" t="s">
        <v>1264</v>
      </c>
      <c r="K174" s="2" t="s">
        <v>0</v>
      </c>
      <c r="L174" s="22" t="s">
        <v>649</v>
      </c>
      <c r="M174" s="2"/>
      <c r="N174" s="125"/>
      <c r="O174" s="126">
        <f>3.5*10^-16</f>
        <v>3.4999999999999997E-16</v>
      </c>
      <c r="P174" s="146">
        <v>4.5999999999999998E-16</v>
      </c>
      <c r="Q174" s="118" t="s">
        <v>1126</v>
      </c>
      <c r="R174" s="1"/>
      <c r="S174" s="1" t="s">
        <v>1049</v>
      </c>
      <c r="T174" s="1"/>
      <c r="U174" s="24" t="s">
        <v>756</v>
      </c>
      <c r="V174" s="116" t="b">
        <f>OR(B174=$V$1,D174=$V$1,B174="2"&amp;$V$1)</f>
        <v>0</v>
      </c>
      <c r="W174" s="1" t="b">
        <f>OR(J174=$W$1,L174=$W$1,N174=$W$1,J174="2"&amp;$W$1,L174="2"&amp;$W$1,N174="2"&amp;$W$1)</f>
        <v>0</v>
      </c>
      <c r="X174" s="25" t="s">
        <v>1607</v>
      </c>
      <c r="Y174" s="25" t="str">
        <f>B174&amp;" + "&amp;D174&amp;IF(F174&lt;&gt;""," + "&amp;F174,"")&amp;"-&gt;"&amp;J174&amp;" + "&amp;L174&amp;IF(N174&lt;&gt;""," + "&amp;N174,"")</f>
        <v>O2+ + NO-&gt;NO+ + O2</v>
      </c>
      <c r="Z174" s="29">
        <f>O174</f>
        <v>3.4999999999999997E-16</v>
      </c>
    </row>
    <row r="175" spans="1:26" ht="22.5" hidden="1" customHeight="1" x14ac:dyDescent="0.25">
      <c r="A175" s="1" t="s">
        <v>194</v>
      </c>
      <c r="B175" s="1" t="s">
        <v>1389</v>
      </c>
      <c r="C175" s="2" t="s">
        <v>0</v>
      </c>
      <c r="D175" s="22" t="s">
        <v>739</v>
      </c>
      <c r="E175" s="2"/>
      <c r="F175" s="22"/>
      <c r="G175" s="4" t="s">
        <v>7</v>
      </c>
      <c r="H175" s="112" t="s">
        <v>1557</v>
      </c>
      <c r="I175" s="4" t="s">
        <v>7</v>
      </c>
      <c r="J175" s="121" t="s">
        <v>1406</v>
      </c>
      <c r="K175" s="2" t="s">
        <v>0</v>
      </c>
      <c r="L175" s="22" t="s">
        <v>649</v>
      </c>
      <c r="M175" s="2"/>
      <c r="N175" s="125"/>
      <c r="O175" s="126">
        <f>6.6*10^-16</f>
        <v>6.5999999999999998E-16</v>
      </c>
      <c r="P175" s="146">
        <v>6.5999999999999998E-16</v>
      </c>
      <c r="Q175" s="118" t="s">
        <v>1122</v>
      </c>
      <c r="R175" s="1"/>
      <c r="S175" s="1" t="s">
        <v>1049</v>
      </c>
      <c r="T175" s="1"/>
      <c r="U175" s="24" t="s">
        <v>691</v>
      </c>
      <c r="V175" s="116" t="b">
        <f>OR(B175=$V$1,D175=$V$1,B175="2"&amp;$V$1)</f>
        <v>0</v>
      </c>
      <c r="W175" s="1" t="b">
        <f>OR(J175=$W$1,L175=$W$1,N175=$W$1,J175="2"&amp;$W$1,L175="2"&amp;$W$1,N175="2"&amp;$W$1)</f>
        <v>0</v>
      </c>
      <c r="X175" s="25" t="s">
        <v>1607</v>
      </c>
      <c r="Y175" s="25" t="str">
        <f>B175&amp;" + "&amp;D175&amp;IF(F175&lt;&gt;""," + "&amp;F175,"")&amp;"-&gt;"&amp;J175&amp;" + "&amp;L175&amp;IF(N175&lt;&gt;""," + "&amp;N175,"")</f>
        <v>O2+ + NO2-&gt;NO2+ + O2</v>
      </c>
      <c r="Z175" s="29">
        <f>O175</f>
        <v>6.5999999999999998E-16</v>
      </c>
    </row>
    <row r="176" spans="1:26" ht="22.5" hidden="1" customHeight="1" x14ac:dyDescent="0.25">
      <c r="A176" s="1" t="s">
        <v>195</v>
      </c>
      <c r="B176" s="1" t="s">
        <v>1389</v>
      </c>
      <c r="C176" s="2" t="s">
        <v>0</v>
      </c>
      <c r="D176" s="22" t="s">
        <v>739</v>
      </c>
      <c r="E176" s="2"/>
      <c r="F176" s="22"/>
      <c r="G176" s="4" t="s">
        <v>7</v>
      </c>
      <c r="H176" s="112" t="s">
        <v>1557</v>
      </c>
      <c r="I176" s="4" t="s">
        <v>7</v>
      </c>
      <c r="J176" s="119" t="s">
        <v>1264</v>
      </c>
      <c r="K176" s="2" t="s">
        <v>0</v>
      </c>
      <c r="L176" s="22" t="s">
        <v>723</v>
      </c>
      <c r="M176" s="2"/>
      <c r="N176" s="125"/>
      <c r="O176" s="126">
        <f>1*10^-17</f>
        <v>1.0000000000000001E-17</v>
      </c>
      <c r="P176" s="146">
        <v>1.0000000000000001E-17</v>
      </c>
      <c r="Q176" s="118" t="s">
        <v>1065</v>
      </c>
      <c r="R176" s="1"/>
      <c r="S176" s="1" t="s">
        <v>1049</v>
      </c>
      <c r="T176" s="1"/>
      <c r="U176" s="24" t="s">
        <v>691</v>
      </c>
      <c r="V176" s="116" t="b">
        <f>OR(B176=$V$1,D176=$V$1,B176="2"&amp;$V$1)</f>
        <v>0</v>
      </c>
      <c r="W176" s="1" t="b">
        <f>OR(J176=$W$1,L176=$W$1,N176=$W$1,J176="2"&amp;$W$1,L176="2"&amp;$W$1,N176="2"&amp;$W$1)</f>
        <v>0</v>
      </c>
      <c r="X176" s="25" t="s">
        <v>1607</v>
      </c>
      <c r="Y176" s="25" t="str">
        <f>B176&amp;" + "&amp;D176&amp;IF(F176&lt;&gt;""," + "&amp;F176,"")&amp;"-&gt;"&amp;J176&amp;" + "&amp;L176&amp;IF(N176&lt;&gt;""," + "&amp;N176,"")</f>
        <v>O2+ + NO2-&gt;NO+ + O3</v>
      </c>
      <c r="Z176" s="29">
        <f>O176</f>
        <v>1.0000000000000001E-17</v>
      </c>
    </row>
    <row r="177" spans="1:26" ht="22.5" hidden="1" customHeight="1" x14ac:dyDescent="0.25">
      <c r="A177" s="1" t="s">
        <v>167</v>
      </c>
      <c r="B177" s="1" t="s">
        <v>1386</v>
      </c>
      <c r="C177" s="2" t="s">
        <v>0</v>
      </c>
      <c r="D177" s="22" t="s">
        <v>639</v>
      </c>
      <c r="E177" s="2"/>
      <c r="F177" s="22"/>
      <c r="G177" s="4" t="s">
        <v>7</v>
      </c>
      <c r="H177" s="112" t="s">
        <v>1557</v>
      </c>
      <c r="I177" s="4" t="s">
        <v>7</v>
      </c>
      <c r="J177" s="119" t="s">
        <v>650</v>
      </c>
      <c r="K177" s="2" t="s">
        <v>0</v>
      </c>
      <c r="L177" s="1" t="s">
        <v>1410</v>
      </c>
      <c r="M177" s="2"/>
      <c r="N177" s="128"/>
      <c r="O177" s="123">
        <f>2.5*10^-16</f>
        <v>2.5000000000000002E-16</v>
      </c>
      <c r="P177" s="145">
        <v>2.5000000000000002E-16</v>
      </c>
      <c r="Q177" s="118" t="s">
        <v>1107</v>
      </c>
      <c r="R177" s="1"/>
      <c r="S177" s="1" t="s">
        <v>1049</v>
      </c>
      <c r="T177" s="1"/>
      <c r="U177" s="24" t="s">
        <v>691</v>
      </c>
      <c r="V177" s="116" t="b">
        <f>OR(B177=$V$1,D177=$V$1,B177="2"&amp;$V$1)</f>
        <v>0</v>
      </c>
      <c r="W177" s="1" t="b">
        <f>OR(J177=$W$1,L177=$W$1,N177=$W$1,J177="2"&amp;$W$1,L177="2"&amp;$W$1,N177="2"&amp;$W$1)</f>
        <v>0</v>
      </c>
      <c r="X177" s="25" t="s">
        <v>1607</v>
      </c>
      <c r="Y177" s="25" t="str">
        <f>B177&amp;" + "&amp;D177&amp;IF(F177&lt;&gt;""," + "&amp;F177,"")&amp;"-&gt;"&amp;J177&amp;" + "&amp;L177&amp;IF(N177&lt;&gt;""," + "&amp;N177,"")</f>
        <v>N4+ + O-&gt;O+ + 2N2</v>
      </c>
      <c r="Z177" s="29">
        <f>O177</f>
        <v>2.5000000000000002E-16</v>
      </c>
    </row>
    <row r="178" spans="1:26" ht="22.5" hidden="1" customHeight="1" x14ac:dyDescent="0.25">
      <c r="A178" s="1" t="s">
        <v>197</v>
      </c>
      <c r="B178" s="1" t="s">
        <v>1390</v>
      </c>
      <c r="C178" s="2" t="s">
        <v>0</v>
      </c>
      <c r="D178" s="22" t="s">
        <v>649</v>
      </c>
      <c r="E178" s="2"/>
      <c r="F178" s="22"/>
      <c r="G178" s="4" t="s">
        <v>7</v>
      </c>
      <c r="H178" s="112" t="s">
        <v>1557</v>
      </c>
      <c r="I178" s="4" t="s">
        <v>7</v>
      </c>
      <c r="J178" s="122" t="s">
        <v>1402</v>
      </c>
      <c r="K178" s="2" t="s">
        <v>0</v>
      </c>
      <c r="L178" s="22" t="s">
        <v>1413</v>
      </c>
      <c r="M178" s="2"/>
      <c r="N178" s="125"/>
      <c r="O178" s="126">
        <f>3.3*10^-12*(300/Teff)^4*EXP(-5030/Teff)</f>
        <v>1.9572819097092648E-19</v>
      </c>
      <c r="P178" s="146">
        <v>1.9572819097092648E-19</v>
      </c>
      <c r="Q178" s="118" t="s">
        <v>1640</v>
      </c>
      <c r="R178" s="1"/>
      <c r="S178" s="1" t="s">
        <v>1049</v>
      </c>
      <c r="T178" s="1"/>
      <c r="U178" s="24" t="s">
        <v>691</v>
      </c>
      <c r="V178" s="116" t="b">
        <f>OR(B178=$V$1,D178=$V$1,B178="2"&amp;$V$1)</f>
        <v>0</v>
      </c>
      <c r="W178" s="1" t="b">
        <f>OR(J178=$W$1,L178=$W$1,N178=$W$1,J178="2"&amp;$W$1,L178="2"&amp;$W$1,N178="2"&amp;$W$1)</f>
        <v>0</v>
      </c>
      <c r="X178" s="25" t="s">
        <v>1607</v>
      </c>
      <c r="Y178" s="25" t="str">
        <f>B178&amp;" + "&amp;D178&amp;IF(F178&lt;&gt;""," + "&amp;F178,"")&amp;"-&gt;"&amp;J178&amp;" + "&amp;L178&amp;IF(N178&lt;&gt;""," + "&amp;N178,"")</f>
        <v>O4+ + O2-&gt;O2+ + 2O2</v>
      </c>
      <c r="Z178" s="29">
        <f>O178</f>
        <v>1.9572819097092648E-19</v>
      </c>
    </row>
    <row r="179" spans="1:26" ht="22.5" hidden="1" customHeight="1" x14ac:dyDescent="0.25">
      <c r="A179" s="1" t="s">
        <v>198</v>
      </c>
      <c r="B179" s="1" t="s">
        <v>1390</v>
      </c>
      <c r="C179" s="2" t="s">
        <v>0</v>
      </c>
      <c r="D179" s="22" t="s">
        <v>688</v>
      </c>
      <c r="E179" s="2"/>
      <c r="F179" s="22"/>
      <c r="G179" s="4" t="s">
        <v>7</v>
      </c>
      <c r="H179" s="112" t="s">
        <v>1557</v>
      </c>
      <c r="I179" s="4" t="s">
        <v>7</v>
      </c>
      <c r="J179" s="119" t="s">
        <v>1264</v>
      </c>
      <c r="K179" s="2" t="s">
        <v>0</v>
      </c>
      <c r="L179" s="22" t="s">
        <v>1413</v>
      </c>
      <c r="M179" s="2"/>
      <c r="N179" s="125"/>
      <c r="O179" s="126">
        <f>5*10^-16</f>
        <v>5.0000000000000004E-16</v>
      </c>
      <c r="P179" s="146">
        <v>6.8000000000000001E-16</v>
      </c>
      <c r="Q179" s="118" t="s">
        <v>1646</v>
      </c>
      <c r="R179" s="1"/>
      <c r="S179" s="1" t="s">
        <v>1049</v>
      </c>
      <c r="T179" s="1"/>
      <c r="U179" s="24" t="s">
        <v>756</v>
      </c>
      <c r="V179" s="116" t="b">
        <f>OR(B179=$V$1,D179=$V$1,B179="2"&amp;$V$1)</f>
        <v>0</v>
      </c>
      <c r="W179" s="1" t="b">
        <f>OR(J179=$W$1,L179=$W$1,N179=$W$1,J179="2"&amp;$W$1,L179="2"&amp;$W$1,N179="2"&amp;$W$1)</f>
        <v>0</v>
      </c>
      <c r="X179" s="25" t="s">
        <v>1607</v>
      </c>
      <c r="Y179" s="25" t="str">
        <f>B179&amp;" + "&amp;D179&amp;IF(F179&lt;&gt;""," + "&amp;F179,"")&amp;"-&gt;"&amp;J179&amp;" + "&amp;L179&amp;IF(N179&lt;&gt;""," + "&amp;N179,"")</f>
        <v>O4+ + NO-&gt;NO+ + 2O2</v>
      </c>
      <c r="Z179" s="29">
        <f>O179</f>
        <v>5.0000000000000004E-16</v>
      </c>
    </row>
    <row r="180" spans="1:26" ht="22.5" hidden="1" customHeight="1" x14ac:dyDescent="0.25">
      <c r="A180" s="1" t="s">
        <v>199</v>
      </c>
      <c r="B180" s="1" t="s">
        <v>1390</v>
      </c>
      <c r="C180" s="2" t="s">
        <v>0</v>
      </c>
      <c r="D180" s="22" t="s">
        <v>739</v>
      </c>
      <c r="E180" s="2"/>
      <c r="F180" s="22"/>
      <c r="G180" s="4" t="s">
        <v>7</v>
      </c>
      <c r="H180" s="112" t="s">
        <v>1557</v>
      </c>
      <c r="I180" s="4" t="s">
        <v>7</v>
      </c>
      <c r="J180" s="121" t="s">
        <v>1406</v>
      </c>
      <c r="K180" s="2" t="s">
        <v>0</v>
      </c>
      <c r="L180" s="22" t="s">
        <v>1413</v>
      </c>
      <c r="M180" s="2"/>
      <c r="N180" s="125"/>
      <c r="O180" s="126">
        <f>3*10^-16</f>
        <v>2.9999999999999999E-16</v>
      </c>
      <c r="P180" s="146">
        <v>2.9999999999999999E-16</v>
      </c>
      <c r="Q180" s="118" t="s">
        <v>1076</v>
      </c>
      <c r="R180" s="1"/>
      <c r="S180" s="1" t="s">
        <v>1049</v>
      </c>
      <c r="T180" s="1"/>
      <c r="U180" s="24" t="s">
        <v>756</v>
      </c>
      <c r="V180" s="116" t="b">
        <f>OR(B180=$V$1,D180=$V$1,B180="2"&amp;$V$1)</f>
        <v>0</v>
      </c>
      <c r="W180" s="1" t="b">
        <f>OR(J180=$W$1,L180=$W$1,N180=$W$1,J180="2"&amp;$W$1,L180="2"&amp;$W$1,N180="2"&amp;$W$1)</f>
        <v>0</v>
      </c>
      <c r="X180" s="25" t="s">
        <v>1607</v>
      </c>
      <c r="Y180" s="25" t="str">
        <f>B180&amp;" + "&amp;D180&amp;IF(F180&lt;&gt;""," + "&amp;F180,"")&amp;"-&gt;"&amp;J180&amp;" + "&amp;L180&amp;IF(N180&lt;&gt;""," + "&amp;N180,"")</f>
        <v>O4+ + NO2-&gt;NO2+ + 2O2</v>
      </c>
      <c r="Z180" s="29">
        <f>O180</f>
        <v>2.9999999999999999E-16</v>
      </c>
    </row>
    <row r="181" spans="1:26" ht="22.5" hidden="1" customHeight="1" x14ac:dyDescent="0.25">
      <c r="A181" s="1" t="s">
        <v>200</v>
      </c>
      <c r="B181" s="1" t="s">
        <v>1319</v>
      </c>
      <c r="C181" s="2" t="s">
        <v>0</v>
      </c>
      <c r="D181" s="22" t="s">
        <v>649</v>
      </c>
      <c r="E181" s="2" t="s">
        <v>0</v>
      </c>
      <c r="F181" s="22" t="s">
        <v>1566</v>
      </c>
      <c r="G181" s="4" t="s">
        <v>7</v>
      </c>
      <c r="H181" s="112" t="s">
        <v>1630</v>
      </c>
      <c r="I181" s="4" t="s">
        <v>7</v>
      </c>
      <c r="J181" s="124" t="s">
        <v>1394</v>
      </c>
      <c r="K181" s="2" t="s">
        <v>0</v>
      </c>
      <c r="L181" s="22" t="s">
        <v>1566</v>
      </c>
      <c r="M181" s="2"/>
      <c r="N181" s="125"/>
      <c r="O181" s="126">
        <f>1.1*10^-42*(300/Teff)*NM</f>
        <v>2.9405940594059412E-17</v>
      </c>
      <c r="P181" s="146">
        <v>2.9405940594059412E-17</v>
      </c>
      <c r="Q181" s="118" t="s">
        <v>1649</v>
      </c>
      <c r="R181" s="1"/>
      <c r="S181" s="1" t="s">
        <v>1049</v>
      </c>
      <c r="T181" s="1"/>
      <c r="U181" s="24" t="s">
        <v>691</v>
      </c>
      <c r="V181" s="116" t="b">
        <f>OR(B181=$V$1,D181=$V$1,B181="2"&amp;$V$1)</f>
        <v>0</v>
      </c>
      <c r="W181" s="1" t="b">
        <f>OR(J181=$W$1,L181=$W$1,N181=$W$1,J181="2"&amp;$W$1,L181="2"&amp;$W$1,N181="2"&amp;$W$1)</f>
        <v>0</v>
      </c>
      <c r="X181" s="25" t="s">
        <v>1607</v>
      </c>
      <c r="Y181" s="25" t="str">
        <f>B181&amp;" + "&amp;D181&amp;IF(F181&lt;&gt;""," + "&amp;F181,"")&amp;"-&gt;"&amp;J181&amp;" + "&amp;L181&amp;IF(N181&lt;&gt;""," + "&amp;N181,"")</f>
        <v>O- + O2 + O2-&gt;O3- + O2</v>
      </c>
      <c r="Z181" s="29">
        <f>O181</f>
        <v>2.9405940594059412E-17</v>
      </c>
    </row>
    <row r="182" spans="1:26" ht="22.5" hidden="1" customHeight="1" x14ac:dyDescent="0.25">
      <c r="A182" s="1"/>
      <c r="B182" s="1" t="s">
        <v>1319</v>
      </c>
      <c r="C182" s="2" t="s">
        <v>0</v>
      </c>
      <c r="D182" s="22" t="s">
        <v>637</v>
      </c>
      <c r="E182" s="2" t="s">
        <v>0</v>
      </c>
      <c r="F182" s="22" t="s">
        <v>1565</v>
      </c>
      <c r="G182" s="4" t="s">
        <v>7</v>
      </c>
      <c r="H182" s="112" t="s">
        <v>1630</v>
      </c>
      <c r="I182" s="4" t="s">
        <v>7</v>
      </c>
      <c r="J182" s="124" t="s">
        <v>1330</v>
      </c>
      <c r="K182" s="2" t="s">
        <v>0</v>
      </c>
      <c r="L182" s="22" t="s">
        <v>1565</v>
      </c>
      <c r="M182" s="2"/>
      <c r="N182" s="125"/>
      <c r="O182" s="126">
        <f>1.1*10^-42*(300/Teff)*NM</f>
        <v>2.9405940594059412E-17</v>
      </c>
      <c r="P182" s="146">
        <v>2.9405940594059412E-17</v>
      </c>
      <c r="Q182" s="118" t="s">
        <v>1649</v>
      </c>
      <c r="R182" s="1"/>
      <c r="S182" s="1"/>
      <c r="T182" s="1"/>
      <c r="U182" s="24" t="s">
        <v>691</v>
      </c>
      <c r="V182" s="116" t="b">
        <f>OR(B182=$V$1,D182=$V$1,B182="2"&amp;$V$1)</f>
        <v>0</v>
      </c>
      <c r="W182" s="1" t="b">
        <f>OR(J182=$W$1,L182=$W$1,N182=$W$1,J182="2"&amp;$W$1,L182="2"&amp;$W$1,N182="2"&amp;$W$1)</f>
        <v>0</v>
      </c>
      <c r="X182" s="25" t="s">
        <v>1607</v>
      </c>
      <c r="Y182" s="25" t="str">
        <f>B182&amp;" + "&amp;D182&amp;IF(F182&lt;&gt;""," + "&amp;F182,"")&amp;"-&gt;"&amp;J182&amp;" + "&amp;L182&amp;IF(N182&lt;&gt;""," + "&amp;N182,"")</f>
        <v>O- + O2 + N2-&gt;O3- + N2</v>
      </c>
      <c r="Z182" s="29">
        <f>O182</f>
        <v>2.9405940594059412E-17</v>
      </c>
    </row>
    <row r="183" spans="1:26" ht="22.5" hidden="1" customHeight="1" x14ac:dyDescent="0.25">
      <c r="A183" s="1" t="s">
        <v>201</v>
      </c>
      <c r="B183" s="1" t="s">
        <v>1319</v>
      </c>
      <c r="C183" s="2" t="s">
        <v>0</v>
      </c>
      <c r="D183" s="1" t="s">
        <v>1489</v>
      </c>
      <c r="E183" s="2"/>
      <c r="F183" s="22"/>
      <c r="G183" s="4" t="s">
        <v>7</v>
      </c>
      <c r="H183" s="112" t="s">
        <v>1557</v>
      </c>
      <c r="I183" s="4" t="s">
        <v>7</v>
      </c>
      <c r="J183" s="124" t="s">
        <v>1393</v>
      </c>
      <c r="K183" s="2" t="s">
        <v>0</v>
      </c>
      <c r="L183" s="22" t="s">
        <v>639</v>
      </c>
      <c r="M183" s="2"/>
      <c r="N183" s="125"/>
      <c r="O183" s="126">
        <f>1*10^-16</f>
        <v>9.9999999999999998E-17</v>
      </c>
      <c r="P183" s="146">
        <v>9.9999999999999998E-17</v>
      </c>
      <c r="Q183" s="118" t="s">
        <v>1101</v>
      </c>
      <c r="R183" s="1"/>
      <c r="S183" s="1" t="s">
        <v>1049</v>
      </c>
      <c r="T183" s="1"/>
      <c r="U183" s="24" t="s">
        <v>691</v>
      </c>
      <c r="V183" s="116" t="b">
        <f>OR(B183=$V$1,D183=$V$1,B183="2"&amp;$V$1)</f>
        <v>0</v>
      </c>
      <c r="W183" s="1" t="b">
        <f>OR(J183=$W$1,L183=$W$1,N183=$W$1,J183="2"&amp;$W$1,L183="2"&amp;$W$1,N183="2"&amp;$W$1)</f>
        <v>0</v>
      </c>
      <c r="X183" s="25" t="s">
        <v>1607</v>
      </c>
      <c r="Y183" s="25" t="str">
        <f>B183&amp;" + "&amp;D183&amp;IF(F183&lt;&gt;""," + "&amp;F183,"")&amp;"-&gt;"&amp;J183&amp;" + "&amp;L183&amp;IF(N183&lt;&gt;""," + "&amp;N183,"")</f>
        <v>O- + O2(a1)-&gt;O2- + O</v>
      </c>
      <c r="Z183" s="29">
        <f>O183</f>
        <v>9.9999999999999998E-17</v>
      </c>
    </row>
    <row r="184" spans="1:26" ht="22.5" hidden="1" customHeight="1" x14ac:dyDescent="0.25">
      <c r="A184" s="1" t="s">
        <v>202</v>
      </c>
      <c r="B184" s="1" t="s">
        <v>1319</v>
      </c>
      <c r="C184" s="2" t="s">
        <v>0</v>
      </c>
      <c r="D184" s="1" t="s">
        <v>723</v>
      </c>
      <c r="E184" s="2"/>
      <c r="F184" s="22"/>
      <c r="G184" s="4" t="s">
        <v>7</v>
      </c>
      <c r="H184" s="112" t="s">
        <v>1557</v>
      </c>
      <c r="I184" s="4" t="s">
        <v>7</v>
      </c>
      <c r="J184" s="124" t="s">
        <v>1394</v>
      </c>
      <c r="K184" s="2" t="s">
        <v>0</v>
      </c>
      <c r="L184" s="22" t="s">
        <v>639</v>
      </c>
      <c r="M184" s="2"/>
      <c r="N184" s="125"/>
      <c r="O184" s="126">
        <f>8*10^-16</f>
        <v>7.9999999999999998E-16</v>
      </c>
      <c r="P184" s="146">
        <v>7.9999999999999998E-16</v>
      </c>
      <c r="Q184" s="118" t="s">
        <v>1123</v>
      </c>
      <c r="R184" s="1"/>
      <c r="S184" s="1" t="s">
        <v>1049</v>
      </c>
      <c r="T184" s="1"/>
      <c r="U184" s="24" t="s">
        <v>691</v>
      </c>
      <c r="V184" s="116" t="b">
        <f>OR(B184=$V$1,D184=$V$1,B184="2"&amp;$V$1)</f>
        <v>0</v>
      </c>
      <c r="W184" s="1" t="b">
        <f>OR(J184=$W$1,L184=$W$1,N184=$W$1,J184="2"&amp;$W$1,L184="2"&amp;$W$1,N184="2"&amp;$W$1)</f>
        <v>0</v>
      </c>
      <c r="X184" s="25" t="s">
        <v>1607</v>
      </c>
      <c r="Y184" s="25" t="str">
        <f>B184&amp;" + "&amp;D184&amp;IF(F184&lt;&gt;""," + "&amp;F184,"")&amp;"-&gt;"&amp;J184&amp;" + "&amp;L184&amp;IF(N184&lt;&gt;""," + "&amp;N184,"")</f>
        <v>O- + O3-&gt;O3- + O</v>
      </c>
      <c r="Z184" s="29">
        <f>O184</f>
        <v>7.9999999999999998E-16</v>
      </c>
    </row>
    <row r="185" spans="1:26" ht="22.5" hidden="1" customHeight="1" x14ac:dyDescent="0.25">
      <c r="A185" s="1" t="s">
        <v>203</v>
      </c>
      <c r="B185" s="1" t="s">
        <v>1319</v>
      </c>
      <c r="C185" s="2" t="s">
        <v>0</v>
      </c>
      <c r="D185" s="22" t="s">
        <v>738</v>
      </c>
      <c r="E185" s="2"/>
      <c r="F185" s="22"/>
      <c r="G185" s="4" t="s">
        <v>7</v>
      </c>
      <c r="H185" s="112" t="s">
        <v>1557</v>
      </c>
      <c r="I185" s="4" t="s">
        <v>7</v>
      </c>
      <c r="J185" s="124" t="s">
        <v>1325</v>
      </c>
      <c r="K185" s="2" t="s">
        <v>0</v>
      </c>
      <c r="L185" s="22" t="s">
        <v>817</v>
      </c>
      <c r="M185" s="2"/>
      <c r="N185" s="125"/>
      <c r="O185" s="126">
        <f>2*10^-16</f>
        <v>2E-16</v>
      </c>
      <c r="P185" s="146">
        <v>2E-16</v>
      </c>
      <c r="Q185" s="118" t="s">
        <v>1067</v>
      </c>
      <c r="R185" s="1"/>
      <c r="S185" s="1" t="s">
        <v>1049</v>
      </c>
      <c r="T185" s="1"/>
      <c r="U185" s="24" t="s">
        <v>691</v>
      </c>
      <c r="V185" s="116" t="b">
        <f>OR(B185=$V$1,D185=$V$1,B185="2"&amp;$V$1)</f>
        <v>0</v>
      </c>
      <c r="W185" s="1" t="b">
        <f>OR(J185=$W$1,L185=$W$1,N185=$W$1,J185="2"&amp;$W$1,L185="2"&amp;$W$1,N185="2"&amp;$W$1)</f>
        <v>0</v>
      </c>
      <c r="X185" s="25" t="s">
        <v>1607</v>
      </c>
      <c r="Y185" s="25" t="str">
        <f>B185&amp;" + "&amp;D185&amp;IF(F185&lt;&gt;""," + "&amp;F185,"")&amp;"-&gt;"&amp;J185&amp;" + "&amp;L185&amp;IF(N185&lt;&gt;""," + "&amp;N185,"")</f>
        <v>O- + N2O-&gt;NO- + NO</v>
      </c>
      <c r="Z185" s="29">
        <f>O185</f>
        <v>2E-16</v>
      </c>
    </row>
    <row r="186" spans="1:26" ht="22.5" hidden="1" customHeight="1" x14ac:dyDescent="0.25">
      <c r="A186" s="1" t="s">
        <v>204</v>
      </c>
      <c r="B186" s="1" t="s">
        <v>1319</v>
      </c>
      <c r="C186" s="2" t="s">
        <v>0</v>
      </c>
      <c r="D186" s="22" t="s">
        <v>738</v>
      </c>
      <c r="E186" s="2"/>
      <c r="F186" s="22"/>
      <c r="G186" s="4" t="s">
        <v>7</v>
      </c>
      <c r="H186" s="112" t="s">
        <v>1557</v>
      </c>
      <c r="I186" s="4" t="s">
        <v>7</v>
      </c>
      <c r="J186" s="150" t="s">
        <v>1648</v>
      </c>
      <c r="K186" s="2" t="s">
        <v>0</v>
      </c>
      <c r="L186" s="22" t="s">
        <v>639</v>
      </c>
      <c r="M186" s="2"/>
      <c r="N186" s="125"/>
      <c r="O186" s="126">
        <f>2*10^-18</f>
        <v>2.0000000000000001E-18</v>
      </c>
      <c r="P186" s="146">
        <v>2.0000000000000001E-18</v>
      </c>
      <c r="Q186" s="118" t="s">
        <v>1124</v>
      </c>
      <c r="R186" s="1"/>
      <c r="S186" s="1" t="s">
        <v>1049</v>
      </c>
      <c r="T186" s="1"/>
      <c r="U186" s="24" t="s">
        <v>691</v>
      </c>
      <c r="V186" s="116" t="b">
        <f>OR(B186=$V$1,D186=$V$1,B186="2"&amp;$V$1)</f>
        <v>0</v>
      </c>
      <c r="W186" s="1" t="b">
        <f>OR(J186=$W$1,L186=$W$1,N186=$W$1,J186="2"&amp;$W$1,L186="2"&amp;$W$1,N186="2"&amp;$W$1)</f>
        <v>0</v>
      </c>
      <c r="X186" s="25" t="s">
        <v>1607</v>
      </c>
      <c r="Y186" s="25" t="str">
        <f>B186&amp;" + "&amp;D186&amp;IF(F186&lt;&gt;""," + "&amp;F186,"")&amp;"-&gt;"&amp;J186&amp;" + "&amp;L186&amp;IF(N186&lt;&gt;""," + "&amp;N186,"")</f>
        <v>O- + N2O-&gt;N2O- + O</v>
      </c>
      <c r="Z186" s="29">
        <f>O186</f>
        <v>2.0000000000000001E-18</v>
      </c>
    </row>
    <row r="187" spans="1:26" ht="22.5" hidden="1" customHeight="1" x14ac:dyDescent="0.25">
      <c r="A187" s="1" t="s">
        <v>205</v>
      </c>
      <c r="B187" s="1" t="s">
        <v>1319</v>
      </c>
      <c r="C187" s="2" t="s">
        <v>0</v>
      </c>
      <c r="D187" s="22" t="s">
        <v>688</v>
      </c>
      <c r="E187" s="2" t="s">
        <v>0</v>
      </c>
      <c r="F187" s="22" t="s">
        <v>1566</v>
      </c>
      <c r="G187" s="4" t="s">
        <v>7</v>
      </c>
      <c r="H187" s="112" t="s">
        <v>1630</v>
      </c>
      <c r="I187" s="4" t="s">
        <v>7</v>
      </c>
      <c r="J187" s="124" t="s">
        <v>1392</v>
      </c>
      <c r="K187" s="2" t="s">
        <v>0</v>
      </c>
      <c r="L187" s="22" t="s">
        <v>1566</v>
      </c>
      <c r="M187" s="2"/>
      <c r="N187" s="125"/>
      <c r="O187" s="126">
        <f>1*10^-41*NM</f>
        <v>2.7000000000000005E-16</v>
      </c>
      <c r="P187" s="146">
        <v>2.7000000000000005E-16</v>
      </c>
      <c r="Q187" s="118" t="s">
        <v>1090</v>
      </c>
      <c r="R187" s="1"/>
      <c r="S187" s="1" t="s">
        <v>1049</v>
      </c>
      <c r="T187" s="1"/>
      <c r="U187" s="24" t="s">
        <v>691</v>
      </c>
      <c r="V187" s="116" t="b">
        <f>OR(B187=$V$1,D187=$V$1,B187="2"&amp;$V$1)</f>
        <v>0</v>
      </c>
      <c r="W187" s="1" t="b">
        <f>OR(J187=$W$1,L187=$W$1,N187=$W$1,J187="2"&amp;$W$1,L187="2"&amp;$W$1,N187="2"&amp;$W$1)</f>
        <v>0</v>
      </c>
      <c r="X187" s="25" t="s">
        <v>1607</v>
      </c>
      <c r="Y187" s="25" t="str">
        <f>B187&amp;" + "&amp;D187&amp;IF(F187&lt;&gt;""," + "&amp;F187,"")&amp;"-&gt;"&amp;J187&amp;" + "&amp;L187&amp;IF(N187&lt;&gt;""," + "&amp;N187,"")</f>
        <v>O- + NO + O2-&gt;NO2- + O2</v>
      </c>
      <c r="Z187" s="29">
        <f>O187</f>
        <v>2.7000000000000005E-16</v>
      </c>
    </row>
    <row r="188" spans="1:26" ht="22.5" hidden="1" customHeight="1" x14ac:dyDescent="0.25">
      <c r="A188" s="1"/>
      <c r="B188" s="1" t="s">
        <v>1319</v>
      </c>
      <c r="C188" s="2" t="s">
        <v>0</v>
      </c>
      <c r="D188" s="22" t="s">
        <v>688</v>
      </c>
      <c r="E188" s="2" t="s">
        <v>0</v>
      </c>
      <c r="F188" s="22" t="s">
        <v>1565</v>
      </c>
      <c r="G188" s="4" t="s">
        <v>7</v>
      </c>
      <c r="H188" s="112" t="s">
        <v>1630</v>
      </c>
      <c r="I188" s="4" t="s">
        <v>7</v>
      </c>
      <c r="J188" s="124" t="s">
        <v>1326</v>
      </c>
      <c r="K188" s="2" t="s">
        <v>0</v>
      </c>
      <c r="L188" s="22" t="s">
        <v>1565</v>
      </c>
      <c r="M188" s="2"/>
      <c r="N188" s="125"/>
      <c r="O188" s="126">
        <f>1*10^-41*NM</f>
        <v>2.7000000000000005E-16</v>
      </c>
      <c r="P188" s="146">
        <v>2.7000000000000005E-16</v>
      </c>
      <c r="Q188" s="118" t="s">
        <v>1090</v>
      </c>
      <c r="R188" s="1"/>
      <c r="S188" s="1"/>
      <c r="T188" s="1"/>
      <c r="U188" s="24" t="s">
        <v>691</v>
      </c>
      <c r="V188" s="116" t="b">
        <f>OR(B188=$V$1,D188=$V$1,B188="2"&amp;$V$1)</f>
        <v>0</v>
      </c>
      <c r="W188" s="1" t="b">
        <f>OR(J188=$W$1,L188=$W$1,N188=$W$1,J188="2"&amp;$W$1,L188="2"&amp;$W$1,N188="2"&amp;$W$1)</f>
        <v>0</v>
      </c>
      <c r="X188" s="25" t="s">
        <v>1607</v>
      </c>
      <c r="Y188" s="25" t="str">
        <f>B188&amp;" + "&amp;D188&amp;IF(F188&lt;&gt;""," + "&amp;F188,"")&amp;"-&gt;"&amp;J188&amp;" + "&amp;L188&amp;IF(N188&lt;&gt;""," + "&amp;N188,"")</f>
        <v>O- + NO + N2-&gt;NO2- + N2</v>
      </c>
      <c r="Z188" s="29">
        <f>O188</f>
        <v>2.7000000000000005E-16</v>
      </c>
    </row>
    <row r="189" spans="1:26" ht="22.5" hidden="1" customHeight="1" x14ac:dyDescent="0.25">
      <c r="A189" s="1" t="s">
        <v>206</v>
      </c>
      <c r="B189" s="1" t="s">
        <v>1319</v>
      </c>
      <c r="C189" s="2" t="s">
        <v>0</v>
      </c>
      <c r="D189" s="22" t="s">
        <v>739</v>
      </c>
      <c r="E189" s="2"/>
      <c r="F189" s="22"/>
      <c r="G189" s="4" t="s">
        <v>7</v>
      </c>
      <c r="H189" s="112" t="s">
        <v>1557</v>
      </c>
      <c r="I189" s="4" t="s">
        <v>7</v>
      </c>
      <c r="J189" s="124" t="s">
        <v>1392</v>
      </c>
      <c r="K189" s="2" t="s">
        <v>0</v>
      </c>
      <c r="L189" s="22" t="s">
        <v>639</v>
      </c>
      <c r="M189" s="2"/>
      <c r="N189" s="125"/>
      <c r="O189" s="126">
        <f>1.2*10^-15</f>
        <v>1.2E-15</v>
      </c>
      <c r="P189" s="146">
        <v>1.2E-15</v>
      </c>
      <c r="Q189" s="118" t="s">
        <v>1088</v>
      </c>
      <c r="R189" s="1"/>
      <c r="S189" s="1" t="s">
        <v>1049</v>
      </c>
      <c r="T189" s="1"/>
      <c r="U189" s="24" t="s">
        <v>691</v>
      </c>
      <c r="V189" s="116" t="b">
        <f>OR(B189=$V$1,D189=$V$1,B189="2"&amp;$V$1)</f>
        <v>0</v>
      </c>
      <c r="W189" s="1" t="b">
        <f>OR(J189=$W$1,L189=$W$1,N189=$W$1,J189="2"&amp;$W$1,L189="2"&amp;$W$1,N189="2"&amp;$W$1)</f>
        <v>0</v>
      </c>
      <c r="X189" s="25" t="s">
        <v>1607</v>
      </c>
      <c r="Y189" s="25" t="str">
        <f>B189&amp;" + "&amp;D189&amp;IF(F189&lt;&gt;""," + "&amp;F189,"")&amp;"-&gt;"&amp;J189&amp;" + "&amp;L189&amp;IF(N189&lt;&gt;""," + "&amp;N189,"")</f>
        <v>O- + NO2-&gt;NO2- + O</v>
      </c>
      <c r="Z189" s="29">
        <f>O189</f>
        <v>1.2E-15</v>
      </c>
    </row>
    <row r="190" spans="1:26" ht="22.5" hidden="1" customHeight="1" x14ac:dyDescent="0.25">
      <c r="A190" s="1" t="s">
        <v>207</v>
      </c>
      <c r="B190" s="1" t="s">
        <v>1319</v>
      </c>
      <c r="C190" s="2" t="s">
        <v>0</v>
      </c>
      <c r="D190" s="22" t="s">
        <v>740</v>
      </c>
      <c r="E190" s="2"/>
      <c r="F190" s="22"/>
      <c r="G190" s="4" t="s">
        <v>7</v>
      </c>
      <c r="H190" s="112" t="s">
        <v>1557</v>
      </c>
      <c r="I190" s="4" t="s">
        <v>7</v>
      </c>
      <c r="J190" s="124" t="s">
        <v>1391</v>
      </c>
      <c r="K190" s="2" t="s">
        <v>0</v>
      </c>
      <c r="L190" s="22" t="s">
        <v>639</v>
      </c>
      <c r="M190" s="2"/>
      <c r="N190" s="125"/>
      <c r="O190" s="126">
        <f>3*10^-16</f>
        <v>2.9999999999999999E-16</v>
      </c>
      <c r="P190" s="146">
        <v>2.9999999999999999E-16</v>
      </c>
      <c r="Q190" s="118" t="s">
        <v>1076</v>
      </c>
      <c r="R190" s="1"/>
      <c r="S190" s="1" t="s">
        <v>1049</v>
      </c>
      <c r="T190" s="1"/>
      <c r="U190" s="24" t="s">
        <v>756</v>
      </c>
      <c r="V190" s="116" t="b">
        <f>OR(B190=$V$1,D190=$V$1,B190="2"&amp;$V$1)</f>
        <v>0</v>
      </c>
      <c r="W190" s="1" t="b">
        <f>OR(J190=$W$1,L190=$W$1,N190=$W$1,J190="2"&amp;$W$1,L190="2"&amp;$W$1,N190="2"&amp;$W$1)</f>
        <v>0</v>
      </c>
      <c r="X190" s="25" t="s">
        <v>1607</v>
      </c>
      <c r="Y190" s="25" t="str">
        <f>B190&amp;" + "&amp;D190&amp;IF(F190&lt;&gt;""," + "&amp;F190,"")&amp;"-&gt;"&amp;J190&amp;" + "&amp;L190&amp;IF(N190&lt;&gt;""," + "&amp;N190,"")</f>
        <v>O- + NO3-&gt;NO3- + O</v>
      </c>
      <c r="Z190" s="29">
        <f>O190</f>
        <v>2.9999999999999999E-16</v>
      </c>
    </row>
    <row r="191" spans="1:26" ht="22.5" hidden="1" customHeight="1" x14ac:dyDescent="0.25">
      <c r="A191" s="1" t="s">
        <v>208</v>
      </c>
      <c r="B191" s="1" t="s">
        <v>1319</v>
      </c>
      <c r="C191" s="2" t="s">
        <v>0</v>
      </c>
      <c r="D191" s="3" t="s">
        <v>640</v>
      </c>
      <c r="E191" s="2"/>
      <c r="F191" s="22"/>
      <c r="G191" s="4" t="s">
        <v>7</v>
      </c>
      <c r="H191" s="112" t="s">
        <v>1557</v>
      </c>
      <c r="I191" s="4" t="s">
        <v>7</v>
      </c>
      <c r="J191" s="124" t="s">
        <v>1334</v>
      </c>
      <c r="K191" s="2" t="s">
        <v>0</v>
      </c>
      <c r="L191" s="22" t="s">
        <v>653</v>
      </c>
      <c r="M191" s="2"/>
      <c r="N191" s="125"/>
      <c r="O191" s="126">
        <f>3.3*10^-17</f>
        <v>3.3E-17</v>
      </c>
      <c r="P191" s="146">
        <v>3.3E-17</v>
      </c>
      <c r="Q191" s="118" t="s">
        <v>1125</v>
      </c>
      <c r="R191" s="1"/>
      <c r="S191" s="1" t="s">
        <v>1049</v>
      </c>
      <c r="T191" s="1"/>
      <c r="U191" s="24" t="s">
        <v>691</v>
      </c>
      <c r="V191" s="116" t="b">
        <f>OR(B191=$V$1,D191=$V$1,B191="2"&amp;$V$1)</f>
        <v>0</v>
      </c>
      <c r="W191" s="1" t="b">
        <f>OR(J191=$W$1,L191=$W$1,N191=$W$1,J191="2"&amp;$W$1,L191="2"&amp;$W$1,N191="2"&amp;$W$1)</f>
        <v>0</v>
      </c>
      <c r="X191" s="25" t="s">
        <v>1607</v>
      </c>
      <c r="Y191" s="25" t="str">
        <f>B191&amp;" + "&amp;D191&amp;IF(F191&lt;&gt;""," + "&amp;F191,"")&amp;"-&gt;"&amp;J191&amp;" + "&amp;L191&amp;IF(N191&lt;&gt;""," + "&amp;N191,"")</f>
        <v>O- + H2-&gt;OH- + H</v>
      </c>
      <c r="Z191" s="29">
        <f>O191</f>
        <v>3.3E-17</v>
      </c>
    </row>
    <row r="192" spans="1:26" ht="22.5" hidden="1" customHeight="1" x14ac:dyDescent="0.25">
      <c r="A192" s="1" t="s">
        <v>209</v>
      </c>
      <c r="B192" s="1" t="s">
        <v>1319</v>
      </c>
      <c r="C192" s="2" t="s">
        <v>0</v>
      </c>
      <c r="D192" s="3" t="s">
        <v>641</v>
      </c>
      <c r="E192" s="2"/>
      <c r="F192" s="22"/>
      <c r="G192" s="4" t="s">
        <v>7</v>
      </c>
      <c r="H192" s="112" t="s">
        <v>1557</v>
      </c>
      <c r="I192" s="4" t="s">
        <v>7</v>
      </c>
      <c r="J192" s="124" t="s">
        <v>1334</v>
      </c>
      <c r="K192" s="2" t="s">
        <v>0</v>
      </c>
      <c r="L192" s="22" t="s">
        <v>654</v>
      </c>
      <c r="M192" s="2"/>
      <c r="N192" s="125"/>
      <c r="O192" s="126">
        <f>1.4*10^-15</f>
        <v>1.4000000000000001E-15</v>
      </c>
      <c r="P192" s="146">
        <v>1.4000000000000001E-15</v>
      </c>
      <c r="Q192" s="118" t="s">
        <v>1082</v>
      </c>
      <c r="R192" s="1"/>
      <c r="S192" s="1" t="s">
        <v>1049</v>
      </c>
      <c r="T192" s="1"/>
      <c r="U192" s="24" t="s">
        <v>691</v>
      </c>
      <c r="V192" s="116" t="b">
        <f>OR(B192=$V$1,D192=$V$1,B192="2"&amp;$V$1)</f>
        <v>0</v>
      </c>
      <c r="W192" s="1" t="b">
        <f>OR(J192=$W$1,L192=$W$1,N192=$W$1,J192="2"&amp;$W$1,L192="2"&amp;$W$1,N192="2"&amp;$W$1)</f>
        <v>0</v>
      </c>
      <c r="X192" s="25" t="s">
        <v>1607</v>
      </c>
      <c r="Y192" s="25" t="str">
        <f>B192&amp;" + "&amp;D192&amp;IF(F192&lt;&gt;""," + "&amp;F192,"")&amp;"-&gt;"&amp;J192&amp;" + "&amp;L192&amp;IF(N192&lt;&gt;""," + "&amp;N192,"")</f>
        <v>O- + H2O-&gt;OH- + OH</v>
      </c>
      <c r="Z192" s="29">
        <f>O192</f>
        <v>1.4000000000000001E-15</v>
      </c>
    </row>
    <row r="193" spans="1:26" ht="22.5" hidden="1" customHeight="1" x14ac:dyDescent="0.25">
      <c r="A193" s="1" t="s">
        <v>217</v>
      </c>
      <c r="B193" s="1" t="s">
        <v>1394</v>
      </c>
      <c r="C193" s="2" t="s">
        <v>0</v>
      </c>
      <c r="D193" s="22" t="s">
        <v>639</v>
      </c>
      <c r="E193" s="2"/>
      <c r="F193" s="22"/>
      <c r="G193" s="4" t="s">
        <v>7</v>
      </c>
      <c r="H193" s="112" t="s">
        <v>1557</v>
      </c>
      <c r="I193" s="4" t="s">
        <v>7</v>
      </c>
      <c r="J193" s="124" t="s">
        <v>1393</v>
      </c>
      <c r="K193" s="2" t="s">
        <v>0</v>
      </c>
      <c r="L193" s="1" t="s">
        <v>649</v>
      </c>
      <c r="M193" s="2"/>
      <c r="N193" s="125"/>
      <c r="O193" s="126">
        <f>2.5*10^-16</f>
        <v>2.5000000000000002E-16</v>
      </c>
      <c r="P193" s="146">
        <v>1.0000000000000001E-17</v>
      </c>
      <c r="Q193" s="118" t="s">
        <v>1107</v>
      </c>
      <c r="R193" s="1"/>
      <c r="S193" s="1" t="s">
        <v>1049</v>
      </c>
      <c r="T193" s="1"/>
      <c r="U193" s="24" t="s">
        <v>756</v>
      </c>
      <c r="V193" s="116" t="b">
        <f>OR(B193=$V$1,D193=$V$1,B193="2"&amp;$V$1)</f>
        <v>0</v>
      </c>
      <c r="W193" s="1" t="b">
        <f>OR(J193=$W$1,L193=$W$1,N193=$W$1,J193="2"&amp;$W$1,L193="2"&amp;$W$1,N193="2"&amp;$W$1)</f>
        <v>0</v>
      </c>
      <c r="X193" s="25" t="s">
        <v>1607</v>
      </c>
      <c r="Y193" s="25" t="str">
        <f>B193&amp;" + "&amp;D193&amp;IF(F193&lt;&gt;""," + "&amp;F193,"")&amp;"-&gt;"&amp;J193&amp;" + "&amp;L193&amp;IF(N193&lt;&gt;""," + "&amp;N193,"")</f>
        <v>O3- + O-&gt;O2- + O2</v>
      </c>
      <c r="Z193" s="29">
        <f>O193</f>
        <v>2.5000000000000002E-16</v>
      </c>
    </row>
    <row r="194" spans="1:26" ht="22.5" hidden="1" customHeight="1" x14ac:dyDescent="0.25">
      <c r="A194" s="1" t="s">
        <v>211</v>
      </c>
      <c r="B194" s="1" t="s">
        <v>1393</v>
      </c>
      <c r="C194" s="2" t="s">
        <v>0</v>
      </c>
      <c r="D194" s="1" t="s">
        <v>649</v>
      </c>
      <c r="E194" s="2" t="s">
        <v>0</v>
      </c>
      <c r="F194" s="1" t="s">
        <v>637</v>
      </c>
      <c r="G194" s="4" t="s">
        <v>7</v>
      </c>
      <c r="H194" s="112" t="s">
        <v>1630</v>
      </c>
      <c r="I194" s="4" t="s">
        <v>7</v>
      </c>
      <c r="J194" s="119" t="s">
        <v>1395</v>
      </c>
      <c r="K194" s="2" t="s">
        <v>0</v>
      </c>
      <c r="L194" s="1" t="s">
        <v>637</v>
      </c>
      <c r="M194" s="2"/>
      <c r="N194" s="125"/>
      <c r="O194" s="126">
        <f>3.5*10^-42*(300/Teff)*NM</f>
        <v>9.3564356435643564E-17</v>
      </c>
      <c r="P194" s="146">
        <v>9.3564356435643564E-17</v>
      </c>
      <c r="Q194" s="118" t="s">
        <v>1650</v>
      </c>
      <c r="R194" s="1"/>
      <c r="S194" s="1" t="s">
        <v>1049</v>
      </c>
      <c r="T194" s="1"/>
      <c r="U194" s="24" t="s">
        <v>691</v>
      </c>
      <c r="V194" s="116" t="b">
        <f>OR(B194=$V$1,D194=$V$1,B194="2"&amp;$V$1)</f>
        <v>0</v>
      </c>
      <c r="W194" s="1" t="b">
        <f>OR(J194=$W$1,L194=$W$1,N194=$W$1,J194="2"&amp;$W$1,L194="2"&amp;$W$1,N194="2"&amp;$W$1)</f>
        <v>0</v>
      </c>
      <c r="X194" s="25" t="s">
        <v>1607</v>
      </c>
      <c r="Y194" s="25" t="str">
        <f>B194&amp;" + "&amp;D194&amp;IF(F194&lt;&gt;""," + "&amp;F194,"")&amp;"-&gt;"&amp;J194&amp;" + "&amp;L194&amp;IF(N194&lt;&gt;""," + "&amp;N194,"")</f>
        <v>O2- + O2 + O2-&gt;O4- + O2</v>
      </c>
      <c r="Z194" s="29">
        <f>O194</f>
        <v>9.3564356435643564E-17</v>
      </c>
    </row>
    <row r="195" spans="1:26" ht="22.5" hidden="1" customHeight="1" x14ac:dyDescent="0.25">
      <c r="A195" s="1"/>
      <c r="B195" s="1" t="s">
        <v>1329</v>
      </c>
      <c r="C195" s="2" t="s">
        <v>0</v>
      </c>
      <c r="D195" s="1" t="s">
        <v>637</v>
      </c>
      <c r="E195" s="2" t="s">
        <v>0</v>
      </c>
      <c r="F195" s="1" t="s">
        <v>3</v>
      </c>
      <c r="G195" s="4" t="s">
        <v>7</v>
      </c>
      <c r="H195" s="112" t="s">
        <v>1630</v>
      </c>
      <c r="I195" s="4" t="s">
        <v>7</v>
      </c>
      <c r="J195" s="119" t="s">
        <v>1331</v>
      </c>
      <c r="K195" s="2" t="s">
        <v>0</v>
      </c>
      <c r="L195" s="1" t="s">
        <v>3</v>
      </c>
      <c r="M195" s="2"/>
      <c r="N195" s="125"/>
      <c r="O195" s="126">
        <f>3.5*10^-42*(300/Teff)*NM</f>
        <v>9.3564356435643564E-17</v>
      </c>
      <c r="P195" s="146"/>
      <c r="Q195" s="118" t="s">
        <v>1650</v>
      </c>
      <c r="R195" s="1"/>
      <c r="S195" s="1"/>
      <c r="T195" s="1"/>
      <c r="U195" s="24" t="s">
        <v>691</v>
      </c>
      <c r="V195" s="116" t="b">
        <f>OR(B195=$V$1,D195=$V$1,B195="2"&amp;$V$1)</f>
        <v>0</v>
      </c>
      <c r="W195" s="1" t="b">
        <f>OR(J195=$W$1,L195=$W$1,N195=$W$1,J195="2"&amp;$W$1,L195="2"&amp;$W$1,N195="2"&amp;$W$1)</f>
        <v>0</v>
      </c>
      <c r="X195" s="25" t="s">
        <v>1607</v>
      </c>
      <c r="Y195" s="25" t="str">
        <f>B195&amp;" + "&amp;D195&amp;IF(F195&lt;&gt;""," + "&amp;F195,"")&amp;"-&gt;"&amp;J195&amp;" + "&amp;L195&amp;IF(N195&lt;&gt;""," + "&amp;N195,"")</f>
        <v>O2- + O2 + N2-&gt;O4- + N2</v>
      </c>
      <c r="Z195" s="29">
        <f>O195</f>
        <v>9.3564356435643564E-17</v>
      </c>
    </row>
    <row r="196" spans="1:26" ht="22.5" hidden="1" customHeight="1" x14ac:dyDescent="0.25">
      <c r="A196" s="1"/>
      <c r="B196" s="1" t="s">
        <v>1329</v>
      </c>
      <c r="C196" s="2" t="s">
        <v>0</v>
      </c>
      <c r="D196" s="1" t="s">
        <v>816</v>
      </c>
      <c r="E196" s="2"/>
      <c r="F196" s="1"/>
      <c r="G196" s="4" t="s">
        <v>7</v>
      </c>
      <c r="H196" s="112" t="s">
        <v>1557</v>
      </c>
      <c r="I196" s="4" t="s">
        <v>7</v>
      </c>
      <c r="J196" s="124" t="s">
        <v>1327</v>
      </c>
      <c r="K196" s="2" t="s">
        <v>0</v>
      </c>
      <c r="L196" s="1" t="s">
        <v>767</v>
      </c>
      <c r="M196" s="2"/>
      <c r="N196" s="125"/>
      <c r="O196" s="126">
        <f>2.8*10^-16</f>
        <v>2.7999999999999996E-16</v>
      </c>
      <c r="P196" s="146"/>
      <c r="Q196" s="118" t="s">
        <v>1127</v>
      </c>
      <c r="R196" s="1"/>
      <c r="S196" s="1"/>
      <c r="T196" s="1"/>
      <c r="U196" s="24" t="s">
        <v>756</v>
      </c>
      <c r="V196" s="116" t="b">
        <f>OR(B196=$V$1,D196=$V$1,B196="2"&amp;$V$1)</f>
        <v>0</v>
      </c>
      <c r="W196" s="1" t="b">
        <f>OR(J196=$W$1,L196=$W$1,N196=$W$1,J196="2"&amp;$W$1,L196="2"&amp;$W$1,N196="2"&amp;$W$1)</f>
        <v>0</v>
      </c>
      <c r="X196" s="25" t="s">
        <v>1607</v>
      </c>
      <c r="Y196" s="25" t="str">
        <f>B196&amp;" + "&amp;D196&amp;IF(F196&lt;&gt;""," + "&amp;F196,"")&amp;"-&gt;"&amp;J196&amp;" + "&amp;L196&amp;IF(N196&lt;&gt;""," + "&amp;N196,"")</f>
        <v>O2- + HNO3-&gt;NO3- + HO2</v>
      </c>
      <c r="Z196" s="29">
        <f>O196</f>
        <v>2.7999999999999996E-16</v>
      </c>
    </row>
    <row r="197" spans="1:26" ht="22.5" hidden="1" customHeight="1" x14ac:dyDescent="0.25">
      <c r="A197" s="1" t="s">
        <v>212</v>
      </c>
      <c r="B197" s="1" t="s">
        <v>1393</v>
      </c>
      <c r="C197" s="2" t="s">
        <v>0</v>
      </c>
      <c r="D197" s="1" t="s">
        <v>723</v>
      </c>
      <c r="E197" s="2"/>
      <c r="F197" s="22"/>
      <c r="G197" s="4" t="s">
        <v>7</v>
      </c>
      <c r="H197" s="112" t="s">
        <v>1557</v>
      </c>
      <c r="I197" s="4" t="s">
        <v>7</v>
      </c>
      <c r="J197" s="124" t="s">
        <v>1394</v>
      </c>
      <c r="K197" s="2" t="s">
        <v>0</v>
      </c>
      <c r="L197" s="1" t="s">
        <v>649</v>
      </c>
      <c r="M197" s="2"/>
      <c r="N197" s="125"/>
      <c r="O197" s="126">
        <f>3.5*10^-16</f>
        <v>3.4999999999999997E-16</v>
      </c>
      <c r="P197" s="146">
        <v>3.4999999999999997E-16</v>
      </c>
      <c r="Q197" s="118" t="s">
        <v>1126</v>
      </c>
      <c r="R197" s="1"/>
      <c r="S197" s="1" t="s">
        <v>1049</v>
      </c>
      <c r="T197" s="1"/>
      <c r="U197" s="24" t="s">
        <v>691</v>
      </c>
      <c r="V197" s="116" t="b">
        <f>OR(B197=$V$1,D197=$V$1,B197="2"&amp;$V$1)</f>
        <v>0</v>
      </c>
      <c r="W197" s="1" t="b">
        <f>OR(J197=$W$1,L197=$W$1,N197=$W$1,J197="2"&amp;$W$1,L197="2"&amp;$W$1,N197="2"&amp;$W$1)</f>
        <v>0</v>
      </c>
      <c r="X197" s="25" t="s">
        <v>1607</v>
      </c>
      <c r="Y197" s="25" t="str">
        <f>B197&amp;" + "&amp;D197&amp;IF(F197&lt;&gt;""," + "&amp;F197,"")&amp;"-&gt;"&amp;J197&amp;" + "&amp;L197&amp;IF(N197&lt;&gt;""," + "&amp;N197,"")</f>
        <v>O2- + O3-&gt;O3- + O2</v>
      </c>
      <c r="Z197" s="29">
        <f>O197</f>
        <v>3.4999999999999997E-16</v>
      </c>
    </row>
    <row r="198" spans="1:26" ht="22.5" hidden="1" customHeight="1" x14ac:dyDescent="0.25">
      <c r="A198" s="1" t="s">
        <v>213</v>
      </c>
      <c r="B198" s="1" t="s">
        <v>1393</v>
      </c>
      <c r="C198" s="2" t="s">
        <v>0</v>
      </c>
      <c r="D198" s="22" t="s">
        <v>738</v>
      </c>
      <c r="E198" s="2"/>
      <c r="F198" s="22"/>
      <c r="G198" s="4" t="s">
        <v>7</v>
      </c>
      <c r="H198" s="112" t="s">
        <v>1557</v>
      </c>
      <c r="I198" s="4" t="s">
        <v>7</v>
      </c>
      <c r="J198" s="124" t="s">
        <v>1394</v>
      </c>
      <c r="K198" s="2" t="s">
        <v>0</v>
      </c>
      <c r="L198" s="22" t="s">
        <v>689</v>
      </c>
      <c r="M198" s="2"/>
      <c r="N198" s="125"/>
      <c r="O198" s="126">
        <f>1*10^-18</f>
        <v>1.0000000000000001E-18</v>
      </c>
      <c r="P198" s="146">
        <v>1.0000000000000001E-17</v>
      </c>
      <c r="Q198" s="118" t="s">
        <v>1072</v>
      </c>
      <c r="R198" s="1"/>
      <c r="S198" s="1" t="s">
        <v>1049</v>
      </c>
      <c r="T198" s="1"/>
      <c r="U198" s="24" t="s">
        <v>755</v>
      </c>
      <c r="V198" s="116" t="b">
        <f>OR(B198=$V$1,D198=$V$1,B198="2"&amp;$V$1)</f>
        <v>0</v>
      </c>
      <c r="W198" s="1" t="b">
        <f>OR(J198=$W$1,L198=$W$1,N198=$W$1,J198="2"&amp;$W$1,L198="2"&amp;$W$1,N198="2"&amp;$W$1)</f>
        <v>0</v>
      </c>
      <c r="X198" s="25" t="s">
        <v>1607</v>
      </c>
      <c r="Y198" s="25" t="str">
        <f>B198&amp;" + "&amp;D198&amp;IF(F198&lt;&gt;""," + "&amp;F198,"")&amp;"-&gt;"&amp;J198&amp;" + "&amp;L198&amp;IF(N198&lt;&gt;""," + "&amp;N198,"")</f>
        <v>O2- + N2O-&gt;O3- + N2</v>
      </c>
      <c r="Z198" s="29">
        <f>O198</f>
        <v>1.0000000000000001E-18</v>
      </c>
    </row>
    <row r="199" spans="1:26" ht="22.5" hidden="1" customHeight="1" x14ac:dyDescent="0.25">
      <c r="A199" s="1" t="s">
        <v>214</v>
      </c>
      <c r="B199" s="1" t="s">
        <v>1393</v>
      </c>
      <c r="C199" s="2" t="s">
        <v>0</v>
      </c>
      <c r="D199" s="22" t="s">
        <v>739</v>
      </c>
      <c r="E199" s="2"/>
      <c r="F199" s="22"/>
      <c r="G199" s="4" t="s">
        <v>7</v>
      </c>
      <c r="H199" s="112" t="s">
        <v>1557</v>
      </c>
      <c r="I199" s="4" t="s">
        <v>7</v>
      </c>
      <c r="J199" s="124" t="s">
        <v>1325</v>
      </c>
      <c r="K199" s="2" t="s">
        <v>0</v>
      </c>
      <c r="L199" s="1" t="s">
        <v>649</v>
      </c>
      <c r="M199" s="2"/>
      <c r="N199" s="125"/>
      <c r="O199" s="126">
        <f>7*10^-16</f>
        <v>6.9999999999999994E-16</v>
      </c>
      <c r="P199" s="146">
        <v>6.9999999999999994E-16</v>
      </c>
      <c r="Q199" s="118" t="s">
        <v>1077</v>
      </c>
      <c r="R199" s="1"/>
      <c r="S199" s="1" t="s">
        <v>1049</v>
      </c>
      <c r="T199" s="1"/>
      <c r="U199" s="24" t="s">
        <v>691</v>
      </c>
      <c r="V199" s="116" t="b">
        <f>OR(B199=$V$1,D199=$V$1,B199="2"&amp;$V$1)</f>
        <v>0</v>
      </c>
      <c r="W199" s="1" t="b">
        <f>OR(J199=$W$1,L199=$W$1,N199=$W$1,J199="2"&amp;$W$1,L199="2"&amp;$W$1,N199="2"&amp;$W$1)</f>
        <v>0</v>
      </c>
      <c r="X199" s="25" t="s">
        <v>1607</v>
      </c>
      <c r="Y199" s="25" t="str">
        <f>B199&amp;" + "&amp;D199&amp;IF(F199&lt;&gt;""," + "&amp;F199,"")&amp;"-&gt;"&amp;J199&amp;" + "&amp;L199&amp;IF(N199&lt;&gt;""," + "&amp;N199,"")</f>
        <v>O2- + NO2-&gt;NO- + O2</v>
      </c>
      <c r="Z199" s="29">
        <f>O199</f>
        <v>6.9999999999999994E-16</v>
      </c>
    </row>
    <row r="200" spans="1:26" ht="22.5" hidden="1" customHeight="1" x14ac:dyDescent="0.25">
      <c r="A200" s="1" t="s">
        <v>215</v>
      </c>
      <c r="B200" s="1" t="s">
        <v>1393</v>
      </c>
      <c r="C200" s="2" t="s">
        <v>0</v>
      </c>
      <c r="D200" s="22" t="s">
        <v>740</v>
      </c>
      <c r="E200" s="2"/>
      <c r="F200" s="22"/>
      <c r="G200" s="4" t="s">
        <v>7</v>
      </c>
      <c r="H200" s="112" t="s">
        <v>1557</v>
      </c>
      <c r="I200" s="4" t="s">
        <v>7</v>
      </c>
      <c r="J200" s="124" t="s">
        <v>1391</v>
      </c>
      <c r="K200" s="2" t="s">
        <v>0</v>
      </c>
      <c r="L200" s="1" t="s">
        <v>649</v>
      </c>
      <c r="M200" s="2"/>
      <c r="N200" s="125"/>
      <c r="O200" s="126">
        <f>5*10^-16</f>
        <v>5.0000000000000004E-16</v>
      </c>
      <c r="P200" s="146">
        <v>5.0000000000000004E-16</v>
      </c>
      <c r="Q200" s="118" t="s">
        <v>1078</v>
      </c>
      <c r="R200" s="1"/>
      <c r="S200" s="1" t="s">
        <v>1049</v>
      </c>
      <c r="T200" s="1"/>
      <c r="U200" s="24" t="s">
        <v>691</v>
      </c>
      <c r="V200" s="116" t="b">
        <f>OR(B200=$V$1,D200=$V$1,B200="2"&amp;$V$1)</f>
        <v>0</v>
      </c>
      <c r="W200" s="1" t="b">
        <f>OR(J200=$W$1,L200=$W$1,N200=$W$1,J200="2"&amp;$W$1,L200="2"&amp;$W$1,N200="2"&amp;$W$1)</f>
        <v>0</v>
      </c>
      <c r="X200" s="25" t="s">
        <v>1607</v>
      </c>
      <c r="Y200" s="25" t="str">
        <f>B200&amp;" + "&amp;D200&amp;IF(F200&lt;&gt;""," + "&amp;F200,"")&amp;"-&gt;"&amp;J200&amp;" + "&amp;L200&amp;IF(N200&lt;&gt;""," + "&amp;N200,"")</f>
        <v>O2- + NO3-&gt;NO3- + O2</v>
      </c>
      <c r="Z200" s="29">
        <f>O200</f>
        <v>5.0000000000000004E-16</v>
      </c>
    </row>
    <row r="201" spans="1:26" ht="22.5" hidden="1" customHeight="1" x14ac:dyDescent="0.25">
      <c r="A201" s="1" t="s">
        <v>117</v>
      </c>
      <c r="B201" s="1" t="s">
        <v>1321</v>
      </c>
      <c r="C201" s="2" t="s">
        <v>0</v>
      </c>
      <c r="D201" s="1" t="s">
        <v>639</v>
      </c>
      <c r="E201" s="2"/>
      <c r="F201" s="3"/>
      <c r="G201" s="4" t="s">
        <v>7</v>
      </c>
      <c r="H201" s="112" t="s">
        <v>1556</v>
      </c>
      <c r="I201" s="4" t="s">
        <v>7</v>
      </c>
      <c r="J201" s="124" t="s">
        <v>1262</v>
      </c>
      <c r="K201" s="2" t="s">
        <v>0</v>
      </c>
      <c r="L201" s="22" t="s">
        <v>1</v>
      </c>
      <c r="M201" s="22"/>
      <c r="N201" s="125"/>
      <c r="O201" s="126">
        <f>2*10^-16</f>
        <v>2E-16</v>
      </c>
      <c r="P201" s="146">
        <v>2E-16</v>
      </c>
      <c r="Q201" s="118" t="s">
        <v>1067</v>
      </c>
      <c r="R201" s="1"/>
      <c r="S201" s="1" t="s">
        <v>1049</v>
      </c>
      <c r="T201" s="1"/>
      <c r="U201" s="24" t="s">
        <v>691</v>
      </c>
      <c r="V201" s="116" t="b">
        <f>OR(B201=$V$1,D201=$V$1,B201="2"&amp;$V$1)</f>
        <v>0</v>
      </c>
      <c r="W201" s="1" t="b">
        <f>OR(J201=$W$1,L201=$W$1,N201=$W$1,J201="2"&amp;$W$1,L201="2"&amp;$W$1,N201="2"&amp;$W$1)</f>
        <v>0</v>
      </c>
      <c r="X201" s="25" t="s">
        <v>1607</v>
      </c>
      <c r="Y201" s="25" t="str">
        <f>B201&amp;" + "&amp;D201&amp;IF(F201&lt;&gt;""," + "&amp;F201,"")&amp;"-&gt;"&amp;J201&amp;" + "&amp;L201&amp;IF(N201&lt;&gt;""," + "&amp;N201,"")</f>
        <v>OH- + O-&gt;HO2 + e</v>
      </c>
      <c r="Z201" s="29">
        <f>O201</f>
        <v>2E-16</v>
      </c>
    </row>
    <row r="202" spans="1:26" ht="22.5" hidden="1" customHeight="1" x14ac:dyDescent="0.25">
      <c r="A202" s="1" t="s">
        <v>218</v>
      </c>
      <c r="B202" s="1" t="s">
        <v>1394</v>
      </c>
      <c r="C202" s="2" t="s">
        <v>0</v>
      </c>
      <c r="D202" s="22" t="s">
        <v>688</v>
      </c>
      <c r="E202" s="2"/>
      <c r="F202" s="22"/>
      <c r="G202" s="4" t="s">
        <v>7</v>
      </c>
      <c r="H202" s="112" t="s">
        <v>1557</v>
      </c>
      <c r="I202" s="4" t="s">
        <v>7</v>
      </c>
      <c r="J202" s="124" t="s">
        <v>1392</v>
      </c>
      <c r="K202" s="2" t="s">
        <v>0</v>
      </c>
      <c r="L202" s="1" t="s">
        <v>649</v>
      </c>
      <c r="M202" s="2"/>
      <c r="N202" s="125"/>
      <c r="O202" s="126">
        <f>2.6*10^-18</f>
        <v>2.6000000000000004E-18</v>
      </c>
      <c r="P202" s="146">
        <v>1.0000000000000001E-17</v>
      </c>
      <c r="Q202" s="118" t="s">
        <v>1654</v>
      </c>
      <c r="R202" s="1"/>
      <c r="S202" s="1" t="s">
        <v>1049</v>
      </c>
      <c r="T202" s="1"/>
      <c r="U202" s="24" t="s">
        <v>691</v>
      </c>
      <c r="V202" s="116" t="b">
        <f>OR(B202=$V$1,D202=$V$1,B202="2"&amp;$V$1)</f>
        <v>0</v>
      </c>
      <c r="W202" s="1" t="b">
        <f>OR(J202=$W$1,L202=$W$1,N202=$W$1,J202="2"&amp;$W$1,L202="2"&amp;$W$1,N202="2"&amp;$W$1)</f>
        <v>0</v>
      </c>
      <c r="X202" s="25" t="s">
        <v>1607</v>
      </c>
      <c r="Y202" s="25" t="str">
        <f>B202&amp;" + "&amp;D202&amp;IF(F202&lt;&gt;""," + "&amp;F202,"")&amp;"-&gt;"&amp;J202&amp;" + "&amp;L202&amp;IF(N202&lt;&gt;""," + "&amp;N202,"")</f>
        <v>O3- + NO-&gt;NO2- + O2</v>
      </c>
      <c r="Z202" s="29">
        <f>O202</f>
        <v>2.6000000000000004E-18</v>
      </c>
    </row>
    <row r="203" spans="1:26" ht="22.5" hidden="1" customHeight="1" x14ac:dyDescent="0.25">
      <c r="A203" s="1" t="s">
        <v>219</v>
      </c>
      <c r="B203" s="1" t="s">
        <v>1394</v>
      </c>
      <c r="C203" s="2" t="s">
        <v>0</v>
      </c>
      <c r="D203" s="22" t="s">
        <v>688</v>
      </c>
      <c r="E203" s="2"/>
      <c r="F203" s="22"/>
      <c r="G203" s="4" t="s">
        <v>7</v>
      </c>
      <c r="H203" s="112" t="s">
        <v>1557</v>
      </c>
      <c r="I203" s="4" t="s">
        <v>7</v>
      </c>
      <c r="J203" s="124" t="s">
        <v>1391</v>
      </c>
      <c r="K203" s="2" t="s">
        <v>0</v>
      </c>
      <c r="L203" s="22" t="s">
        <v>639</v>
      </c>
      <c r="M203" s="2"/>
      <c r="N203" s="125"/>
      <c r="O203" s="126">
        <f>1*10^-17</f>
        <v>1.0000000000000001E-17</v>
      </c>
      <c r="P203" s="146">
        <v>1.0000000000000001E-17</v>
      </c>
      <c r="Q203" s="118" t="s">
        <v>1065</v>
      </c>
      <c r="R203" s="1"/>
      <c r="S203" s="1" t="s">
        <v>1049</v>
      </c>
      <c r="T203" s="1"/>
      <c r="U203" s="24" t="s">
        <v>691</v>
      </c>
      <c r="V203" s="116" t="b">
        <f>OR(B203=$V$1,D203=$V$1,B203="2"&amp;$V$1)</f>
        <v>0</v>
      </c>
      <c r="W203" s="1" t="b">
        <f>OR(J203=$W$1,L203=$W$1,N203=$W$1,J203="2"&amp;$W$1,L203="2"&amp;$W$1,N203="2"&amp;$W$1)</f>
        <v>0</v>
      </c>
      <c r="X203" s="25" t="s">
        <v>1607</v>
      </c>
      <c r="Y203" s="25" t="str">
        <f>B203&amp;" + "&amp;D203&amp;IF(F203&lt;&gt;""," + "&amp;F203,"")&amp;"-&gt;"&amp;J203&amp;" + "&amp;L203&amp;IF(N203&lt;&gt;""," + "&amp;N203,"")</f>
        <v>O3- + NO-&gt;NO3- + O</v>
      </c>
      <c r="Z203" s="29">
        <f>O203</f>
        <v>1.0000000000000001E-17</v>
      </c>
    </row>
    <row r="204" spans="1:26" ht="22.5" hidden="1" customHeight="1" x14ac:dyDescent="0.25">
      <c r="A204" s="1" t="s">
        <v>220</v>
      </c>
      <c r="B204" s="1" t="s">
        <v>1394</v>
      </c>
      <c r="C204" s="2" t="s">
        <v>0</v>
      </c>
      <c r="D204" s="22" t="s">
        <v>739</v>
      </c>
      <c r="E204" s="2"/>
      <c r="F204" s="22"/>
      <c r="G204" s="4" t="s">
        <v>7</v>
      </c>
      <c r="H204" s="112" t="s">
        <v>1557</v>
      </c>
      <c r="I204" s="4" t="s">
        <v>7</v>
      </c>
      <c r="J204" s="124" t="s">
        <v>1391</v>
      </c>
      <c r="K204" s="2" t="s">
        <v>0</v>
      </c>
      <c r="L204" s="1" t="s">
        <v>649</v>
      </c>
      <c r="M204" s="2"/>
      <c r="N204" s="125"/>
      <c r="O204" s="126">
        <f>2*10^-17</f>
        <v>2.0000000000000001E-17</v>
      </c>
      <c r="P204" s="146">
        <v>2.0000000000000001E-17</v>
      </c>
      <c r="Q204" s="118" t="s">
        <v>1104</v>
      </c>
      <c r="R204" s="1"/>
      <c r="S204" s="1" t="s">
        <v>1049</v>
      </c>
      <c r="T204" s="1"/>
      <c r="U204" s="24" t="s">
        <v>691</v>
      </c>
      <c r="V204" s="116" t="b">
        <f>OR(B204=$V$1,D204=$V$1,B204="2"&amp;$V$1)</f>
        <v>0</v>
      </c>
      <c r="W204" s="1" t="b">
        <f>OR(J204=$W$1,L204=$W$1,N204=$W$1,J204="2"&amp;$W$1,L204="2"&amp;$W$1,N204="2"&amp;$W$1)</f>
        <v>0</v>
      </c>
      <c r="X204" s="25" t="s">
        <v>1607</v>
      </c>
      <c r="Y204" s="25" t="str">
        <f>B204&amp;" + "&amp;D204&amp;IF(F204&lt;&gt;""," + "&amp;F204,"")&amp;"-&gt;"&amp;J204&amp;" + "&amp;L204&amp;IF(N204&lt;&gt;""," + "&amp;N204,"")</f>
        <v>O3- + NO2-&gt;NO3- + O2</v>
      </c>
      <c r="Z204" s="29">
        <f>O204</f>
        <v>2.0000000000000001E-17</v>
      </c>
    </row>
    <row r="205" spans="1:26" ht="22.5" hidden="1" customHeight="1" x14ac:dyDescent="0.25">
      <c r="A205" s="1" t="s">
        <v>221</v>
      </c>
      <c r="B205" s="1" t="s">
        <v>1394</v>
      </c>
      <c r="C205" s="2" t="s">
        <v>0</v>
      </c>
      <c r="D205" s="22" t="s">
        <v>739</v>
      </c>
      <c r="E205" s="2"/>
      <c r="F205" s="22"/>
      <c r="G205" s="4" t="s">
        <v>7</v>
      </c>
      <c r="H205" s="112" t="s">
        <v>1557</v>
      </c>
      <c r="I205" s="4" t="s">
        <v>7</v>
      </c>
      <c r="J205" s="124" t="s">
        <v>1392</v>
      </c>
      <c r="K205" s="2" t="s">
        <v>0</v>
      </c>
      <c r="L205" s="1" t="s">
        <v>723</v>
      </c>
      <c r="M205" s="2"/>
      <c r="N205" s="125"/>
      <c r="O205" s="126">
        <f>7*10^-17</f>
        <v>7.0000000000000003E-17</v>
      </c>
      <c r="P205" s="146">
        <v>7.0000000000000003E-17</v>
      </c>
      <c r="Q205" s="118" t="s">
        <v>1106</v>
      </c>
      <c r="R205" s="1"/>
      <c r="S205" s="1" t="s">
        <v>1049</v>
      </c>
      <c r="T205" s="1"/>
      <c r="U205" s="24" t="s">
        <v>691</v>
      </c>
      <c r="V205" s="116" t="b">
        <f>OR(B205=$V$1,D205=$V$1,B205="2"&amp;$V$1)</f>
        <v>0</v>
      </c>
      <c r="W205" s="1" t="b">
        <f>OR(J205=$W$1,L205=$W$1,N205=$W$1,J205="2"&amp;$W$1,L205="2"&amp;$W$1,N205="2"&amp;$W$1)</f>
        <v>0</v>
      </c>
      <c r="X205" s="25" t="s">
        <v>1607</v>
      </c>
      <c r="Y205" s="25" t="str">
        <f>B205&amp;" + "&amp;D205&amp;IF(F205&lt;&gt;""," + "&amp;F205,"")&amp;"-&gt;"&amp;J205&amp;" + "&amp;L205&amp;IF(N205&lt;&gt;""," + "&amp;N205,"")</f>
        <v>O3- + NO2-&gt;NO2- + O3</v>
      </c>
      <c r="Z205" s="29">
        <f>O205</f>
        <v>7.0000000000000003E-17</v>
      </c>
    </row>
    <row r="206" spans="1:26" ht="22.5" hidden="1" customHeight="1" x14ac:dyDescent="0.25">
      <c r="A206" s="1" t="s">
        <v>222</v>
      </c>
      <c r="B206" s="1" t="s">
        <v>1394</v>
      </c>
      <c r="C206" s="2" t="s">
        <v>0</v>
      </c>
      <c r="D206" s="22" t="s">
        <v>740</v>
      </c>
      <c r="E206" s="2"/>
      <c r="F206" s="22"/>
      <c r="G206" s="4" t="s">
        <v>7</v>
      </c>
      <c r="H206" s="112" t="s">
        <v>1557</v>
      </c>
      <c r="I206" s="4" t="s">
        <v>7</v>
      </c>
      <c r="J206" s="124" t="s">
        <v>1391</v>
      </c>
      <c r="K206" s="2" t="s">
        <v>0</v>
      </c>
      <c r="L206" s="1" t="s">
        <v>723</v>
      </c>
      <c r="M206" s="2"/>
      <c r="N206" s="125"/>
      <c r="O206" s="126">
        <f>5*10^-16</f>
        <v>5.0000000000000004E-16</v>
      </c>
      <c r="P206" s="146">
        <v>5.0000000000000004E-16</v>
      </c>
      <c r="Q206" s="118" t="s">
        <v>1078</v>
      </c>
      <c r="R206" s="1"/>
      <c r="S206" s="1" t="s">
        <v>1049</v>
      </c>
      <c r="T206" s="1"/>
      <c r="U206" s="24" t="s">
        <v>691</v>
      </c>
      <c r="V206" s="116" t="b">
        <f>OR(B206=$V$1,D206=$V$1,B206="2"&amp;$V$1)</f>
        <v>0</v>
      </c>
      <c r="W206" s="1" t="b">
        <f>OR(J206=$W$1,L206=$W$1,N206=$W$1,J206="2"&amp;$W$1,L206="2"&amp;$W$1,N206="2"&amp;$W$1)</f>
        <v>0</v>
      </c>
      <c r="X206" s="25" t="s">
        <v>1607</v>
      </c>
      <c r="Y206" s="25" t="str">
        <f>B206&amp;" + "&amp;D206&amp;IF(F206&lt;&gt;""," + "&amp;F206,"")&amp;"-&gt;"&amp;J206&amp;" + "&amp;L206&amp;IF(N206&lt;&gt;""," + "&amp;N206,"")</f>
        <v>O3- + NO3-&gt;NO3- + O3</v>
      </c>
      <c r="Z206" s="29">
        <f>O206</f>
        <v>5.0000000000000004E-16</v>
      </c>
    </row>
    <row r="207" spans="1:26" ht="22.5" hidden="1" customHeight="1" x14ac:dyDescent="0.25">
      <c r="A207" s="1" t="s">
        <v>223</v>
      </c>
      <c r="B207" s="1" t="s">
        <v>1394</v>
      </c>
      <c r="C207" s="2" t="s">
        <v>0</v>
      </c>
      <c r="D207" s="22" t="s">
        <v>653</v>
      </c>
      <c r="E207" s="2"/>
      <c r="F207" s="22"/>
      <c r="G207" s="4" t="s">
        <v>7</v>
      </c>
      <c r="H207" s="112" t="s">
        <v>1557</v>
      </c>
      <c r="I207" s="4" t="s">
        <v>7</v>
      </c>
      <c r="J207" s="124" t="s">
        <v>1334</v>
      </c>
      <c r="K207" s="2" t="s">
        <v>0</v>
      </c>
      <c r="L207" s="1" t="s">
        <v>649</v>
      </c>
      <c r="M207" s="2"/>
      <c r="N207" s="125"/>
      <c r="O207" s="126">
        <f>8.4*10^-16</f>
        <v>8.4000000000000004E-16</v>
      </c>
      <c r="P207" s="146">
        <v>8.4000000000000004E-16</v>
      </c>
      <c r="Q207" s="118" t="s">
        <v>1128</v>
      </c>
      <c r="R207" s="1"/>
      <c r="S207" s="1" t="s">
        <v>1049</v>
      </c>
      <c r="T207" s="1"/>
      <c r="U207" s="24" t="s">
        <v>691</v>
      </c>
      <c r="V207" s="116" t="b">
        <f>OR(B207=$V$1,D207=$V$1,B207="2"&amp;$V$1)</f>
        <v>0</v>
      </c>
      <c r="W207" s="1" t="b">
        <f>OR(J207=$W$1,L207=$W$1,N207=$W$1,J207="2"&amp;$W$1,L207="2"&amp;$W$1,N207="2"&amp;$W$1)</f>
        <v>0</v>
      </c>
      <c r="X207" s="25" t="s">
        <v>1607</v>
      </c>
      <c r="Y207" s="25" t="str">
        <f>B207&amp;" + "&amp;D207&amp;IF(F207&lt;&gt;""," + "&amp;F207,"")&amp;"-&gt;"&amp;J207&amp;" + "&amp;L207&amp;IF(N207&lt;&gt;""," + "&amp;N207,"")</f>
        <v>O3- + H-&gt;OH- + O2</v>
      </c>
      <c r="Z207" s="29">
        <f>O207</f>
        <v>8.4000000000000004E-16</v>
      </c>
    </row>
    <row r="208" spans="1:26" ht="22.5" hidden="1" customHeight="1" x14ac:dyDescent="0.25">
      <c r="A208" s="1" t="s">
        <v>224</v>
      </c>
      <c r="B208" s="1" t="s">
        <v>1395</v>
      </c>
      <c r="C208" s="2" t="s">
        <v>0</v>
      </c>
      <c r="D208" s="22" t="s">
        <v>688</v>
      </c>
      <c r="E208" s="2"/>
      <c r="F208" s="22"/>
      <c r="G208" s="4" t="s">
        <v>7</v>
      </c>
      <c r="H208" s="112" t="s">
        <v>1557</v>
      </c>
      <c r="I208" s="4" t="s">
        <v>7</v>
      </c>
      <c r="J208" s="124" t="s">
        <v>1391</v>
      </c>
      <c r="K208" s="2" t="s">
        <v>0</v>
      </c>
      <c r="L208" s="1" t="s">
        <v>649</v>
      </c>
      <c r="M208" s="2"/>
      <c r="N208" s="125"/>
      <c r="O208" s="126">
        <f>2.5*10^-16</f>
        <v>2.5000000000000002E-16</v>
      </c>
      <c r="P208" s="146">
        <v>2.5000000000000002E-16</v>
      </c>
      <c r="Q208" s="118" t="s">
        <v>1107</v>
      </c>
      <c r="R208" s="1"/>
      <c r="S208" s="1" t="s">
        <v>1049</v>
      </c>
      <c r="T208" s="1"/>
      <c r="U208" s="24" t="s">
        <v>691</v>
      </c>
      <c r="V208" s="116" t="b">
        <f>OR(B208=$V$1,D208=$V$1,B208="2"&amp;$V$1)</f>
        <v>0</v>
      </c>
      <c r="W208" s="1" t="b">
        <f>OR(J208=$W$1,L208=$W$1,N208=$W$1,J208="2"&amp;$W$1,L208="2"&amp;$W$1,N208="2"&amp;$W$1)</f>
        <v>0</v>
      </c>
      <c r="X208" s="25" t="s">
        <v>1607</v>
      </c>
      <c r="Y208" s="25" t="str">
        <f>B208&amp;" + "&amp;D208&amp;IF(F208&lt;&gt;""," + "&amp;F208,"")&amp;"-&gt;"&amp;J208&amp;" + "&amp;L208&amp;IF(N208&lt;&gt;""," + "&amp;N208,"")</f>
        <v>O4- + NO-&gt;NO3- + O2</v>
      </c>
      <c r="Z208" s="29">
        <f>O208</f>
        <v>2.5000000000000002E-16</v>
      </c>
    </row>
    <row r="209" spans="1:26" ht="22.5" hidden="1" customHeight="1" x14ac:dyDescent="0.25">
      <c r="A209" s="1" t="s">
        <v>147</v>
      </c>
      <c r="B209" s="1" t="s">
        <v>1384</v>
      </c>
      <c r="C209" s="2" t="s">
        <v>0</v>
      </c>
      <c r="D209" s="22" t="s">
        <v>639</v>
      </c>
      <c r="E209" s="2"/>
      <c r="F209" s="22"/>
      <c r="G209" s="4" t="s">
        <v>7</v>
      </c>
      <c r="H209" s="112" t="s">
        <v>1557</v>
      </c>
      <c r="I209" s="4" t="s">
        <v>7</v>
      </c>
      <c r="J209" s="119" t="s">
        <v>1264</v>
      </c>
      <c r="K209" s="2" t="s">
        <v>0</v>
      </c>
      <c r="L209" s="22" t="s">
        <v>814</v>
      </c>
      <c r="M209" s="2"/>
      <c r="N209" s="125"/>
      <c r="O209" s="126">
        <f>1.8*10^-16*(300/Tg)</f>
        <v>1.782178217821782E-16</v>
      </c>
      <c r="P209" s="146">
        <v>1.782178217821782E-16</v>
      </c>
      <c r="Q209" s="118" t="s">
        <v>1098</v>
      </c>
      <c r="R209" s="1"/>
      <c r="S209" s="1" t="s">
        <v>1049</v>
      </c>
      <c r="T209" s="1"/>
      <c r="U209" s="24" t="s">
        <v>756</v>
      </c>
      <c r="V209" s="116" t="b">
        <f>OR(B209=$V$1,D209=$V$1,B209="2"&amp;$V$1)</f>
        <v>0</v>
      </c>
      <c r="W209" s="1" t="b">
        <f>OR(J209=$W$1,L209=$W$1,N209=$W$1,J209="2"&amp;$W$1,L209="2"&amp;$W$1,N209="2"&amp;$W$1)</f>
        <v>0</v>
      </c>
      <c r="X209" s="25" t="s">
        <v>1607</v>
      </c>
      <c r="Y209" s="25" t="str">
        <f>B209&amp;" + "&amp;D209&amp;IF(F209&lt;&gt;""," + "&amp;F209,"")&amp;"-&gt;"&amp;J209&amp;" + "&amp;L209&amp;IF(N209&lt;&gt;""," + "&amp;N209,"")</f>
        <v>N2+ + O-&gt;NO+ + N(2D)</v>
      </c>
      <c r="Z209" s="29">
        <f>O209</f>
        <v>1.782178217821782E-16</v>
      </c>
    </row>
    <row r="210" spans="1:26" ht="22.5" hidden="1" customHeight="1" x14ac:dyDescent="0.25">
      <c r="A210" s="1" t="s">
        <v>99</v>
      </c>
      <c r="B210" s="1" t="s">
        <v>1393</v>
      </c>
      <c r="C210" s="2" t="s">
        <v>0</v>
      </c>
      <c r="D210" s="22" t="s">
        <v>639</v>
      </c>
      <c r="E210" s="2"/>
      <c r="F210" s="3"/>
      <c r="G210" s="4" t="s">
        <v>7</v>
      </c>
      <c r="H210" s="112" t="s">
        <v>1556</v>
      </c>
      <c r="I210" s="4" t="s">
        <v>7</v>
      </c>
      <c r="J210" s="124" t="s">
        <v>638</v>
      </c>
      <c r="K210" s="2" t="s">
        <v>0</v>
      </c>
      <c r="L210" s="22" t="s">
        <v>1</v>
      </c>
      <c r="M210" s="2"/>
      <c r="N210" s="125"/>
      <c r="O210" s="126">
        <f>1.5*10^-16</f>
        <v>1.5E-16</v>
      </c>
      <c r="P210" s="146">
        <v>1.5E-16</v>
      </c>
      <c r="Q210" s="118" t="s">
        <v>1081</v>
      </c>
      <c r="R210" s="1"/>
      <c r="S210" s="1" t="s">
        <v>1049</v>
      </c>
      <c r="T210" s="1"/>
      <c r="U210" s="24" t="s">
        <v>691</v>
      </c>
      <c r="V210" s="116" t="b">
        <f>OR(B210=$V$1,D210=$V$1,B210="2"&amp;$V$1)</f>
        <v>0</v>
      </c>
      <c r="W210" s="1" t="b">
        <f>OR(J210=$W$1,L210=$W$1,N210=$W$1,J210="2"&amp;$W$1,L210="2"&amp;$W$1,N210="2"&amp;$W$1)</f>
        <v>0</v>
      </c>
      <c r="X210" s="25" t="s">
        <v>1607</v>
      </c>
      <c r="Y210" s="25" t="str">
        <f>B210&amp;" + "&amp;D210&amp;IF(F210&lt;&gt;""," + "&amp;F210,"")&amp;"-&gt;"&amp;J210&amp;" + "&amp;L210&amp;IF(N210&lt;&gt;""," + "&amp;N210,"")</f>
        <v>O2- + O-&gt;O3 + e</v>
      </c>
      <c r="Z210" s="29">
        <f>O210</f>
        <v>1.5E-16</v>
      </c>
    </row>
    <row r="211" spans="1:26" ht="22.5" hidden="1" customHeight="1" x14ac:dyDescent="0.25">
      <c r="A211" s="1" t="s">
        <v>227</v>
      </c>
      <c r="B211" s="1" t="s">
        <v>1331</v>
      </c>
      <c r="C211" s="2" t="s">
        <v>0</v>
      </c>
      <c r="D211" s="22" t="s">
        <v>637</v>
      </c>
      <c r="E211" s="2"/>
      <c r="F211" s="22"/>
      <c r="G211" s="4" t="s">
        <v>7</v>
      </c>
      <c r="H211" s="112" t="s">
        <v>1557</v>
      </c>
      <c r="I211" s="4" t="s">
        <v>7</v>
      </c>
      <c r="J211" s="124" t="s">
        <v>1329</v>
      </c>
      <c r="K211" s="2" t="s">
        <v>0</v>
      </c>
      <c r="L211" s="1" t="s">
        <v>637</v>
      </c>
      <c r="M211" s="2" t="s">
        <v>0</v>
      </c>
      <c r="N211" s="125" t="s">
        <v>637</v>
      </c>
      <c r="O211" s="126">
        <f>1*10^-16*EXP(-1044/Tg)</f>
        <v>3.1887392891941153E-18</v>
      </c>
      <c r="P211" s="146">
        <v>3.1887392891941153E-18</v>
      </c>
      <c r="Q211" s="118" t="s">
        <v>1129</v>
      </c>
      <c r="R211" s="1"/>
      <c r="S211" s="1" t="s">
        <v>1049</v>
      </c>
      <c r="T211" s="1"/>
      <c r="U211" s="24" t="s">
        <v>691</v>
      </c>
      <c r="V211" s="116" t="b">
        <f>OR(B211=$V$1,D211=$V$1,B211="2"&amp;$V$1)</f>
        <v>0</v>
      </c>
      <c r="W211" s="1" t="b">
        <f>OR(J211=$W$1,L211=$W$1,N211=$W$1,J211="2"&amp;$W$1,L211="2"&amp;$W$1,N211="2"&amp;$W$1)</f>
        <v>0</v>
      </c>
      <c r="X211" s="25" t="s">
        <v>1607</v>
      </c>
      <c r="Y211" s="25" t="str">
        <f>B211&amp;" + "&amp;D211&amp;IF(F211&lt;&gt;""," + "&amp;F211,"")&amp;"-&gt;"&amp;J211&amp;" + "&amp;L211&amp;IF(N211&lt;&gt;""," + "&amp;N211,"")</f>
        <v>O4- + O2-&gt;O2- + O2 + O2</v>
      </c>
      <c r="Z211" s="29">
        <f>O211</f>
        <v>3.1887392891941153E-18</v>
      </c>
    </row>
    <row r="212" spans="1:26" ht="22.5" hidden="1" customHeight="1" x14ac:dyDescent="0.25">
      <c r="A212" s="1" t="s">
        <v>227</v>
      </c>
      <c r="B212" s="1" t="s">
        <v>1395</v>
      </c>
      <c r="C212" s="2" t="s">
        <v>0</v>
      </c>
      <c r="D212" s="22" t="s">
        <v>689</v>
      </c>
      <c r="E212" s="2"/>
      <c r="F212" s="22"/>
      <c r="G212" s="4" t="s">
        <v>7</v>
      </c>
      <c r="H212" s="112" t="s">
        <v>1557</v>
      </c>
      <c r="I212" s="4" t="s">
        <v>7</v>
      </c>
      <c r="J212" s="124" t="s">
        <v>1393</v>
      </c>
      <c r="K212" s="2" t="s">
        <v>0</v>
      </c>
      <c r="L212" s="1" t="s">
        <v>649</v>
      </c>
      <c r="M212" s="2" t="s">
        <v>0</v>
      </c>
      <c r="N212" s="125" t="s">
        <v>689</v>
      </c>
      <c r="O212" s="126">
        <f>1*10^-16*EXP(-1044/Tg)</f>
        <v>3.1887392891941153E-18</v>
      </c>
      <c r="P212" s="146">
        <v>3.1887392891941153E-18</v>
      </c>
      <c r="Q212" s="118" t="s">
        <v>1129</v>
      </c>
      <c r="R212" s="1"/>
      <c r="S212" s="1" t="s">
        <v>1049</v>
      </c>
      <c r="T212" s="1"/>
      <c r="U212" s="24" t="s">
        <v>691</v>
      </c>
      <c r="V212" s="116" t="b">
        <f>OR(B212=$V$1,D212=$V$1,B212="2"&amp;$V$1)</f>
        <v>0</v>
      </c>
      <c r="W212" s="1" t="b">
        <f>OR(J212=$W$1,L212=$W$1,N212=$W$1,J212="2"&amp;$W$1,L212="2"&amp;$W$1,N212="2"&amp;$W$1)</f>
        <v>0</v>
      </c>
      <c r="X212" s="25" t="s">
        <v>1607</v>
      </c>
      <c r="Y212" s="25" t="str">
        <f>B212&amp;" + "&amp;D212&amp;IF(F212&lt;&gt;""," + "&amp;F212,"")&amp;"-&gt;"&amp;J212&amp;" + "&amp;L212&amp;IF(N212&lt;&gt;""," + "&amp;N212,"")</f>
        <v>O4- + N2-&gt;O2- + O2 + N2</v>
      </c>
      <c r="Z212" s="29">
        <f>O212</f>
        <v>3.1887392891941153E-18</v>
      </c>
    </row>
    <row r="213" spans="1:26" ht="22.5" hidden="1" customHeight="1" x14ac:dyDescent="0.25">
      <c r="A213" s="1" t="s">
        <v>228</v>
      </c>
      <c r="B213" s="1" t="s">
        <v>680</v>
      </c>
      <c r="C213" s="2" t="s">
        <v>0</v>
      </c>
      <c r="D213" s="22" t="s">
        <v>688</v>
      </c>
      <c r="E213" s="2"/>
      <c r="F213" s="22"/>
      <c r="G213" s="4" t="s">
        <v>7</v>
      </c>
      <c r="H213" s="112" t="s">
        <v>1557</v>
      </c>
      <c r="I213" s="4" t="s">
        <v>7</v>
      </c>
      <c r="J213" s="119" t="s">
        <v>1264</v>
      </c>
      <c r="K213" s="2" t="s">
        <v>0</v>
      </c>
      <c r="L213" s="22" t="s">
        <v>738</v>
      </c>
      <c r="M213" s="2"/>
      <c r="N213" s="125"/>
      <c r="O213" s="126">
        <f>2.3*10^-16</f>
        <v>2.2999999999999999E-16</v>
      </c>
      <c r="P213" s="146">
        <v>2.2999999999999999E-16</v>
      </c>
      <c r="Q213" s="118" t="s">
        <v>1112</v>
      </c>
      <c r="R213" s="1"/>
      <c r="S213" s="1" t="s">
        <v>1049</v>
      </c>
      <c r="T213" s="1"/>
      <c r="U213" s="24" t="s">
        <v>796</v>
      </c>
      <c r="V213" s="116" t="b">
        <f>OR(B213=$V$1,D213=$V$1,B213="2"&amp;$V$1)</f>
        <v>0</v>
      </c>
      <c r="W213" s="1" t="b">
        <f>OR(J213=$W$1,L213=$W$1,N213=$W$1,J213="2"&amp;$W$1,L213="2"&amp;$W$1,N213="2"&amp;$W$1)</f>
        <v>0</v>
      </c>
      <c r="Y213" s="25" t="str">
        <f>B213&amp;" + "&amp;D213&amp;IF(F213&lt;&gt;""," + "&amp;F213,"")&amp;"-&gt;"&amp;J213&amp;" + "&amp;L213&amp;IF(N213&lt;&gt;""," + "&amp;N213,"")</f>
        <v>N2O+ + NO-&gt;NO+ + N2O</v>
      </c>
      <c r="Z213" s="29">
        <f>O213</f>
        <v>2.2999999999999999E-16</v>
      </c>
    </row>
    <row r="214" spans="1:26" ht="22.5" hidden="1" customHeight="1" x14ac:dyDescent="0.25">
      <c r="A214" s="1" t="s">
        <v>229</v>
      </c>
      <c r="B214" s="1" t="s">
        <v>680</v>
      </c>
      <c r="C214" s="2" t="s">
        <v>0</v>
      </c>
      <c r="D214" s="22" t="s">
        <v>738</v>
      </c>
      <c r="E214" s="2"/>
      <c r="F214" s="22"/>
      <c r="G214" s="4" t="s">
        <v>7</v>
      </c>
      <c r="H214" s="112" t="s">
        <v>1557</v>
      </c>
      <c r="I214" s="4" t="s">
        <v>7</v>
      </c>
      <c r="J214" s="119" t="s">
        <v>1264</v>
      </c>
      <c r="K214" s="2" t="s">
        <v>0</v>
      </c>
      <c r="L214" s="22" t="s">
        <v>688</v>
      </c>
      <c r="M214" s="2" t="s">
        <v>0</v>
      </c>
      <c r="N214" s="125" t="s">
        <v>689</v>
      </c>
      <c r="O214" s="126">
        <f>1.2*10^-17</f>
        <v>1.2000000000000001E-17</v>
      </c>
      <c r="P214" s="146">
        <v>1.2000000000000001E-17</v>
      </c>
      <c r="Q214" s="118" t="s">
        <v>1130</v>
      </c>
      <c r="R214" s="1"/>
      <c r="S214" s="1" t="s">
        <v>1049</v>
      </c>
      <c r="T214" s="1"/>
      <c r="U214" s="24" t="s">
        <v>796</v>
      </c>
      <c r="V214" s="116" t="b">
        <f>OR(B214=$V$1,D214=$V$1,B214="2"&amp;$V$1)</f>
        <v>0</v>
      </c>
      <c r="W214" s="1" t="b">
        <f>OR(J214=$W$1,L214=$W$1,N214=$W$1,J214="2"&amp;$W$1,L214="2"&amp;$W$1,N214="2"&amp;$W$1)</f>
        <v>0</v>
      </c>
      <c r="Y214" s="25" t="str">
        <f>B214&amp;" + "&amp;D214&amp;IF(F214&lt;&gt;""," + "&amp;F214,"")&amp;"-&gt;"&amp;J214&amp;" + "&amp;L214&amp;IF(N214&lt;&gt;""," + "&amp;N214,"")</f>
        <v>N2O+ + N2O-&gt;NO+ + NO + N2</v>
      </c>
      <c r="Z214" s="29">
        <f>O214</f>
        <v>1.2000000000000001E-17</v>
      </c>
    </row>
    <row r="215" spans="1:26" ht="22.5" hidden="1" customHeight="1" x14ac:dyDescent="0.25">
      <c r="A215" s="1" t="s">
        <v>230</v>
      </c>
      <c r="B215" s="1" t="s">
        <v>680</v>
      </c>
      <c r="C215" s="2" t="s">
        <v>0</v>
      </c>
      <c r="D215" s="22" t="s">
        <v>739</v>
      </c>
      <c r="E215" s="2"/>
      <c r="F215" s="22"/>
      <c r="G215" s="4" t="s">
        <v>7</v>
      </c>
      <c r="H215" s="112" t="s">
        <v>1557</v>
      </c>
      <c r="I215" s="4" t="s">
        <v>7</v>
      </c>
      <c r="J215" s="119" t="s">
        <v>1264</v>
      </c>
      <c r="K215" s="2" t="s">
        <v>0</v>
      </c>
      <c r="L215" s="22" t="s">
        <v>689</v>
      </c>
      <c r="M215" s="2" t="s">
        <v>0</v>
      </c>
      <c r="N215" s="128" t="s">
        <v>649</v>
      </c>
      <c r="O215" s="123">
        <f>4.29*10^-16</f>
        <v>4.2900000000000002E-16</v>
      </c>
      <c r="P215" s="145">
        <v>4.2900000000000002E-16</v>
      </c>
      <c r="Q215" s="118" t="s">
        <v>1131</v>
      </c>
      <c r="R215" s="1"/>
      <c r="S215" s="1" t="s">
        <v>1049</v>
      </c>
      <c r="T215" s="1"/>
      <c r="U215" s="24" t="s">
        <v>796</v>
      </c>
      <c r="V215" s="116" t="b">
        <f>OR(B215=$V$1,D215=$V$1,B215="2"&amp;$V$1)</f>
        <v>0</v>
      </c>
      <c r="W215" s="1" t="b">
        <f>OR(J215=$W$1,L215=$W$1,N215=$W$1,J215="2"&amp;$W$1,L215="2"&amp;$W$1,N215="2"&amp;$W$1)</f>
        <v>0</v>
      </c>
      <c r="Y215" s="25" t="str">
        <f>B215&amp;" + "&amp;D215&amp;IF(F215&lt;&gt;""," + "&amp;F215,"")&amp;"-&gt;"&amp;J215&amp;" + "&amp;L215&amp;IF(N215&lt;&gt;""," + "&amp;N215,"")</f>
        <v>N2O+ + NO2-&gt;NO+ + N2 + O2</v>
      </c>
      <c r="Z215" s="29">
        <f>O215</f>
        <v>4.2900000000000002E-16</v>
      </c>
    </row>
    <row r="216" spans="1:26" ht="22.5" hidden="1" customHeight="1" x14ac:dyDescent="0.25">
      <c r="A216" s="1" t="s">
        <v>231</v>
      </c>
      <c r="B216" s="1" t="s">
        <v>680</v>
      </c>
      <c r="C216" s="2" t="s">
        <v>0</v>
      </c>
      <c r="D216" s="22" t="s">
        <v>739</v>
      </c>
      <c r="E216" s="2"/>
      <c r="F216" s="22"/>
      <c r="G216" s="4" t="s">
        <v>7</v>
      </c>
      <c r="H216" s="112" t="s">
        <v>1557</v>
      </c>
      <c r="I216" s="4" t="s">
        <v>7</v>
      </c>
      <c r="J216" s="121" t="s">
        <v>1406</v>
      </c>
      <c r="K216" s="2" t="s">
        <v>0</v>
      </c>
      <c r="L216" s="22" t="s">
        <v>738</v>
      </c>
      <c r="M216" s="2"/>
      <c r="N216" s="125"/>
      <c r="O216" s="126">
        <f>2.21*10^-16</f>
        <v>2.2099999999999999E-16</v>
      </c>
      <c r="P216" s="146">
        <v>2.2099999999999999E-16</v>
      </c>
      <c r="Q216" s="118" t="s">
        <v>1132</v>
      </c>
      <c r="R216" s="1"/>
      <c r="S216" s="1" t="s">
        <v>1049</v>
      </c>
      <c r="T216" s="1"/>
      <c r="U216" s="24" t="s">
        <v>796</v>
      </c>
      <c r="V216" s="116" t="b">
        <f>OR(B216=$V$1,D216=$V$1,B216="2"&amp;$V$1)</f>
        <v>0</v>
      </c>
      <c r="W216" s="1" t="b">
        <f>OR(J216=$W$1,L216=$W$1,N216=$W$1,J216="2"&amp;$W$1,L216="2"&amp;$W$1,N216="2"&amp;$W$1)</f>
        <v>0</v>
      </c>
      <c r="Y216" s="25" t="str">
        <f>B216&amp;" + "&amp;D216&amp;IF(F216&lt;&gt;""," + "&amp;F216,"")&amp;"-&gt;"&amp;J216&amp;" + "&amp;L216&amp;IF(N216&lt;&gt;""," + "&amp;N216,"")</f>
        <v>N2O+ + NO2-&gt;NO2+ + N2O</v>
      </c>
      <c r="Z216" s="29">
        <f>O216</f>
        <v>2.2099999999999999E-16</v>
      </c>
    </row>
    <row r="217" spans="1:26" ht="22.5" hidden="1" customHeight="1" x14ac:dyDescent="0.25">
      <c r="A217" s="1" t="s">
        <v>232</v>
      </c>
      <c r="B217" s="1" t="s">
        <v>680</v>
      </c>
      <c r="C217" s="2" t="s">
        <v>0</v>
      </c>
      <c r="D217" s="22" t="s">
        <v>649</v>
      </c>
      <c r="E217" s="2"/>
      <c r="F217" s="22"/>
      <c r="G217" s="4" t="s">
        <v>7</v>
      </c>
      <c r="H217" s="112" t="s">
        <v>1557</v>
      </c>
      <c r="I217" s="4" t="s">
        <v>7</v>
      </c>
      <c r="J217" s="119" t="s">
        <v>1264</v>
      </c>
      <c r="K217" s="2" t="s">
        <v>0</v>
      </c>
      <c r="L217" s="22" t="s">
        <v>739</v>
      </c>
      <c r="M217" s="2"/>
      <c r="N217" s="125"/>
      <c r="O217" s="126">
        <f>4.59*10^-17</f>
        <v>4.5900000000000004E-17</v>
      </c>
      <c r="P217" s="146">
        <v>4.5900000000000004E-17</v>
      </c>
      <c r="Q217" s="118" t="s">
        <v>1133</v>
      </c>
      <c r="R217" s="1"/>
      <c r="S217" s="1" t="s">
        <v>1049</v>
      </c>
      <c r="T217" s="1"/>
      <c r="U217" s="24" t="s">
        <v>796</v>
      </c>
      <c r="V217" s="116" t="b">
        <f>OR(B217=$V$1,D217=$V$1,B217="2"&amp;$V$1)</f>
        <v>0</v>
      </c>
      <c r="W217" s="1" t="b">
        <f>OR(J217=$W$1,L217=$W$1,N217=$W$1,J217="2"&amp;$W$1,L217="2"&amp;$W$1,N217="2"&amp;$W$1)</f>
        <v>1</v>
      </c>
      <c r="Y217" s="25" t="str">
        <f>B217&amp;" + "&amp;D217&amp;IF(F217&lt;&gt;""," + "&amp;F217,"")&amp;"-&gt;"&amp;J217&amp;" + "&amp;L217&amp;IF(N217&lt;&gt;""," + "&amp;N217,"")</f>
        <v>N2O+ + O2-&gt;NO+ + NO2</v>
      </c>
      <c r="Z217" s="29">
        <f>O217</f>
        <v>4.5900000000000004E-17</v>
      </c>
    </row>
    <row r="218" spans="1:26" ht="22.5" hidden="1" customHeight="1" x14ac:dyDescent="0.25">
      <c r="A218" s="1" t="s">
        <v>233</v>
      </c>
      <c r="B218" s="1" t="s">
        <v>680</v>
      </c>
      <c r="C218" s="2" t="s">
        <v>0</v>
      </c>
      <c r="D218" s="22" t="s">
        <v>649</v>
      </c>
      <c r="E218" s="2"/>
      <c r="F218" s="22"/>
      <c r="G218" s="4" t="s">
        <v>7</v>
      </c>
      <c r="H218" s="112" t="s">
        <v>1557</v>
      </c>
      <c r="I218" s="4" t="s">
        <v>7</v>
      </c>
      <c r="J218" s="122" t="s">
        <v>1402</v>
      </c>
      <c r="K218" s="2" t="s">
        <v>0</v>
      </c>
      <c r="L218" s="22" t="s">
        <v>738</v>
      </c>
      <c r="M218" s="2"/>
      <c r="N218" s="125"/>
      <c r="O218" s="126">
        <f>2.24*10^-16</f>
        <v>2.2400000000000004E-16</v>
      </c>
      <c r="P218" s="146">
        <v>2.2400000000000004E-16</v>
      </c>
      <c r="Q218" s="118" t="s">
        <v>1134</v>
      </c>
      <c r="R218" s="1"/>
      <c r="S218" s="1" t="s">
        <v>1049</v>
      </c>
      <c r="T218" s="1"/>
      <c r="U218" s="24" t="s">
        <v>796</v>
      </c>
      <c r="V218" s="116" t="b">
        <f>OR(B218=$V$1,D218=$V$1,B218="2"&amp;$V$1)</f>
        <v>0</v>
      </c>
      <c r="W218" s="1" t="b">
        <f>OR(J218=$W$1,L218=$W$1,N218=$W$1,J218="2"&amp;$W$1,L218="2"&amp;$W$1,N218="2"&amp;$W$1)</f>
        <v>0</v>
      </c>
      <c r="Y218" s="25" t="str">
        <f>B218&amp;" + "&amp;D218&amp;IF(F218&lt;&gt;""," + "&amp;F218,"")&amp;"-&gt;"&amp;J218&amp;" + "&amp;L218&amp;IF(N218&lt;&gt;""," + "&amp;N218,"")</f>
        <v>N2O+ + O2-&gt;O2+ + N2O</v>
      </c>
      <c r="Z218" s="29">
        <f>O218</f>
        <v>2.2400000000000004E-16</v>
      </c>
    </row>
    <row r="219" spans="1:26" ht="22.5" hidden="1" customHeight="1" x14ac:dyDescent="0.25">
      <c r="A219" s="1" t="s">
        <v>234</v>
      </c>
      <c r="B219" s="1" t="s">
        <v>681</v>
      </c>
      <c r="C219" s="2" t="s">
        <v>0</v>
      </c>
      <c r="D219" s="22" t="s">
        <v>674</v>
      </c>
      <c r="E219" s="2"/>
      <c r="F219" s="22"/>
      <c r="G219" s="4" t="s">
        <v>7</v>
      </c>
      <c r="H219" s="112" t="s">
        <v>1557</v>
      </c>
      <c r="I219" s="4" t="s">
        <v>7</v>
      </c>
      <c r="J219" s="121" t="s">
        <v>1406</v>
      </c>
      <c r="K219" s="2" t="s">
        <v>0</v>
      </c>
      <c r="L219" s="22" t="s">
        <v>1414</v>
      </c>
      <c r="M219" s="2"/>
      <c r="N219" s="125"/>
      <c r="O219" s="126">
        <f>5.9*10^-16</f>
        <v>5.9000000000000002E-16</v>
      </c>
      <c r="P219" s="146">
        <v>5.9000000000000002E-16</v>
      </c>
      <c r="Q219" s="118" t="s">
        <v>1135</v>
      </c>
      <c r="R219" s="1"/>
      <c r="S219" s="1" t="s">
        <v>1049</v>
      </c>
      <c r="T219" s="1"/>
      <c r="U219" s="24" t="s">
        <v>690</v>
      </c>
      <c r="V219" s="116" t="b">
        <f>OR(B219=$V$1,D219=$V$1,B219="2"&amp;$V$1)</f>
        <v>0</v>
      </c>
      <c r="W219" s="1" t="b">
        <f>OR(J219=$W$1,L219=$W$1,N219=$W$1,J219="2"&amp;$W$1,L219="2"&amp;$W$1,N219="2"&amp;$W$1)</f>
        <v>1</v>
      </c>
      <c r="X219" s="25" t="s">
        <v>1607</v>
      </c>
      <c r="Y219" s="25" t="str">
        <f>B219&amp;" + "&amp;D219&amp;IF(F219&lt;&gt;""," + "&amp;F219,"")&amp;"-&gt;"&amp;J219&amp;" + "&amp;L219&amp;IF(N219&lt;&gt;""," + "&amp;N219,"")</f>
        <v>NO+ + N2O5-&gt;NO2+ + 2NO2</v>
      </c>
      <c r="Z219" s="29">
        <f>O219</f>
        <v>5.9000000000000002E-16</v>
      </c>
    </row>
    <row r="220" spans="1:26" ht="22.5" hidden="1" customHeight="1" x14ac:dyDescent="0.25">
      <c r="A220" s="1" t="s">
        <v>235</v>
      </c>
      <c r="B220" s="1" t="s">
        <v>681</v>
      </c>
      <c r="C220" s="2" t="s">
        <v>0</v>
      </c>
      <c r="D220" s="22" t="s">
        <v>723</v>
      </c>
      <c r="E220" s="2"/>
      <c r="F220" s="22"/>
      <c r="G220" s="4" t="s">
        <v>7</v>
      </c>
      <c r="H220" s="112" t="s">
        <v>1557</v>
      </c>
      <c r="I220" s="4" t="s">
        <v>7</v>
      </c>
      <c r="J220" s="121" t="s">
        <v>1406</v>
      </c>
      <c r="K220" s="2" t="s">
        <v>0</v>
      </c>
      <c r="L220" s="1" t="s">
        <v>649</v>
      </c>
      <c r="M220" s="2"/>
      <c r="N220" s="125"/>
      <c r="O220" s="126">
        <f>1*10^-21</f>
        <v>9.9999999999999991E-22</v>
      </c>
      <c r="P220" s="146">
        <v>9.9999999999999991E-22</v>
      </c>
      <c r="Q220" s="118" t="s">
        <v>1136</v>
      </c>
      <c r="R220" s="1"/>
      <c r="S220" s="1" t="s">
        <v>1049</v>
      </c>
      <c r="T220" s="1"/>
      <c r="U220" s="24" t="s">
        <v>690</v>
      </c>
      <c r="V220" s="116" t="b">
        <f>OR(B220=$V$1,D220=$V$1,B220="2"&amp;$V$1)</f>
        <v>0</v>
      </c>
      <c r="W220" s="1" t="b">
        <f>OR(J220=$W$1,L220=$W$1,N220=$W$1,J220="2"&amp;$W$1,L220="2"&amp;$W$1,N220="2"&amp;$W$1)</f>
        <v>0</v>
      </c>
      <c r="X220" s="25" t="s">
        <v>1607</v>
      </c>
      <c r="Y220" s="25" t="str">
        <f>B220&amp;" + "&amp;D220&amp;IF(F220&lt;&gt;""," + "&amp;F220,"")&amp;"-&gt;"&amp;J220&amp;" + "&amp;L220&amp;IF(N220&lt;&gt;""," + "&amp;N220,"")</f>
        <v>NO+ + O3-&gt;NO2+ + O2</v>
      </c>
      <c r="Z220" s="29">
        <f>O220</f>
        <v>9.9999999999999991E-22</v>
      </c>
    </row>
    <row r="221" spans="1:26" ht="22.5" hidden="1" customHeight="1" x14ac:dyDescent="0.25">
      <c r="A221" s="1" t="s">
        <v>236</v>
      </c>
      <c r="B221" s="1" t="s">
        <v>681</v>
      </c>
      <c r="C221" s="2" t="s">
        <v>0</v>
      </c>
      <c r="D221" s="22" t="s">
        <v>636</v>
      </c>
      <c r="E221" s="2" t="s">
        <v>0</v>
      </c>
      <c r="F221" s="22" t="s">
        <v>687</v>
      </c>
      <c r="G221" s="4" t="s">
        <v>7</v>
      </c>
      <c r="H221" s="112" t="s">
        <v>1630</v>
      </c>
      <c r="I221" s="4" t="s">
        <v>7</v>
      </c>
      <c r="J221" s="119" t="s">
        <v>1265</v>
      </c>
      <c r="K221" s="2" t="s">
        <v>0</v>
      </c>
      <c r="L221" s="22" t="s">
        <v>687</v>
      </c>
      <c r="M221" s="2"/>
      <c r="N221" s="125"/>
      <c r="O221" s="126">
        <f>1*10^-41*(300/Tg)*NM</f>
        <v>2.6732673267326738E-16</v>
      </c>
      <c r="P221" s="146">
        <v>2.6732673267326738E-16</v>
      </c>
      <c r="Q221" s="118" t="s">
        <v>1137</v>
      </c>
      <c r="R221" s="1"/>
      <c r="S221" s="1" t="s">
        <v>1049</v>
      </c>
      <c r="T221" s="1"/>
      <c r="U221" s="24" t="s">
        <v>756</v>
      </c>
      <c r="V221" s="116" t="b">
        <f>OR(B221=$V$1,D221=$V$1,B221="2"&amp;$V$1)</f>
        <v>0</v>
      </c>
      <c r="W221" s="1" t="b">
        <f>OR(J221=$W$1,L221=$W$1,N221=$W$1,J221="2"&amp;$W$1,L221="2"&amp;$W$1,N221="2"&amp;$W$1)</f>
        <v>0</v>
      </c>
      <c r="X221" s="25" t="s">
        <v>1607</v>
      </c>
      <c r="Y221" s="25" t="str">
        <f>B221&amp;" + "&amp;D221&amp;IF(F221&lt;&gt;""," + "&amp;F221,"")&amp;"-&gt;"&amp;J221&amp;" + "&amp;L221&amp;IF(N221&lt;&gt;""," + "&amp;N221,"")</f>
        <v>NO+ + N + M-&gt;N2O+ + M</v>
      </c>
      <c r="Z221" s="29">
        <f>O221</f>
        <v>2.6732673267326738E-16</v>
      </c>
    </row>
    <row r="222" spans="1:26" ht="22.5" hidden="1" customHeight="1" x14ac:dyDescent="0.25">
      <c r="A222" s="1" t="s">
        <v>237</v>
      </c>
      <c r="B222" s="1" t="s">
        <v>1320</v>
      </c>
      <c r="C222" s="2" t="s">
        <v>0</v>
      </c>
      <c r="D222" s="22" t="s">
        <v>738</v>
      </c>
      <c r="E222" s="2"/>
      <c r="F222" s="22"/>
      <c r="G222" s="4" t="s">
        <v>7</v>
      </c>
      <c r="H222" s="112" t="s">
        <v>1557</v>
      </c>
      <c r="I222" s="4" t="s">
        <v>7</v>
      </c>
      <c r="J222" s="124" t="s">
        <v>1392</v>
      </c>
      <c r="K222" s="2" t="s">
        <v>0</v>
      </c>
      <c r="L222" s="22" t="s">
        <v>689</v>
      </c>
      <c r="M222" s="2"/>
      <c r="N222" s="125"/>
      <c r="O222" s="126">
        <f>2.8*10^-20</f>
        <v>2.7999999999999997E-20</v>
      </c>
      <c r="P222" s="146">
        <v>2.7999999999999997E-20</v>
      </c>
      <c r="Q222" s="118" t="s">
        <v>1138</v>
      </c>
      <c r="R222" s="1"/>
      <c r="S222" s="1" t="s">
        <v>1049</v>
      </c>
      <c r="T222" s="1"/>
      <c r="U222" s="24" t="s">
        <v>691</v>
      </c>
      <c r="V222" s="116" t="b">
        <f>OR(B222=$V$1,D222=$V$1,B222="2"&amp;$V$1)</f>
        <v>0</v>
      </c>
      <c r="W222" s="1" t="b">
        <f>OR(J222=$W$1,L222=$W$1,N222=$W$1,J222="2"&amp;$W$1,L222="2"&amp;$W$1,N222="2"&amp;$W$1)</f>
        <v>0</v>
      </c>
      <c r="X222" s="25" t="s">
        <v>1607</v>
      </c>
      <c r="Y222" s="25" t="str">
        <f>B222&amp;" + "&amp;D222&amp;IF(F222&lt;&gt;""," + "&amp;F222,"")&amp;"-&gt;"&amp;J222&amp;" + "&amp;L222&amp;IF(N222&lt;&gt;""," + "&amp;N222,"")</f>
        <v>NO- + N2O-&gt;NO2- + N2</v>
      </c>
      <c r="Z222" s="29">
        <f>O222</f>
        <v>2.7999999999999997E-20</v>
      </c>
    </row>
    <row r="223" spans="1:26" ht="22.5" hidden="1" customHeight="1" x14ac:dyDescent="0.25">
      <c r="A223" s="1" t="s">
        <v>238</v>
      </c>
      <c r="B223" s="1" t="s">
        <v>1320</v>
      </c>
      <c r="C223" s="2" t="s">
        <v>0</v>
      </c>
      <c r="D223" s="22" t="s">
        <v>739</v>
      </c>
      <c r="E223" s="2"/>
      <c r="F223" s="22"/>
      <c r="G223" s="4" t="s">
        <v>7</v>
      </c>
      <c r="H223" s="112" t="s">
        <v>1557</v>
      </c>
      <c r="I223" s="4" t="s">
        <v>7</v>
      </c>
      <c r="J223" s="124" t="s">
        <v>1392</v>
      </c>
      <c r="K223" s="2" t="s">
        <v>0</v>
      </c>
      <c r="L223" s="22" t="s">
        <v>688</v>
      </c>
      <c r="M223" s="2"/>
      <c r="N223" s="125"/>
      <c r="O223" s="126">
        <f>7.4*10^-16</f>
        <v>7.3999999999999999E-16</v>
      </c>
      <c r="P223" s="146">
        <v>2.9999999999999999E-16</v>
      </c>
      <c r="Q223" s="118" t="s">
        <v>1655</v>
      </c>
      <c r="R223" s="1"/>
      <c r="S223" s="1" t="s">
        <v>1049</v>
      </c>
      <c r="T223" s="1"/>
      <c r="U223" s="24" t="s">
        <v>691</v>
      </c>
      <c r="V223" s="116" t="b">
        <f>OR(B223=$V$1,D223=$V$1,B223="2"&amp;$V$1)</f>
        <v>0</v>
      </c>
      <c r="W223" s="1" t="b">
        <f>OR(J223=$W$1,L223=$W$1,N223=$W$1,J223="2"&amp;$W$1,L223="2"&amp;$W$1,N223="2"&amp;$W$1)</f>
        <v>0</v>
      </c>
      <c r="X223" s="25" t="s">
        <v>1607</v>
      </c>
      <c r="Y223" s="25" t="str">
        <f>B223&amp;" + "&amp;D223&amp;IF(F223&lt;&gt;""," + "&amp;F223,"")&amp;"-&gt;"&amp;J223&amp;" + "&amp;L223&amp;IF(N223&lt;&gt;""," + "&amp;N223,"")</f>
        <v>NO- + NO2-&gt;NO2- + NO</v>
      </c>
      <c r="Z223" s="29">
        <f>O223</f>
        <v>7.3999999999999999E-16</v>
      </c>
    </row>
    <row r="224" spans="1:26" ht="22.5" hidden="1" customHeight="1" x14ac:dyDescent="0.25">
      <c r="A224" s="1" t="s">
        <v>239</v>
      </c>
      <c r="B224" s="1" t="s">
        <v>1320</v>
      </c>
      <c r="C224" s="2" t="s">
        <v>0</v>
      </c>
      <c r="D224" s="22" t="s">
        <v>740</v>
      </c>
      <c r="E224" s="2"/>
      <c r="F224" s="22"/>
      <c r="G224" s="4" t="s">
        <v>7</v>
      </c>
      <c r="H224" s="112" t="s">
        <v>1557</v>
      </c>
      <c r="I224" s="4" t="s">
        <v>7</v>
      </c>
      <c r="J224" s="124" t="s">
        <v>1391</v>
      </c>
      <c r="K224" s="2" t="s">
        <v>0</v>
      </c>
      <c r="L224" s="22" t="s">
        <v>688</v>
      </c>
      <c r="M224" s="2"/>
      <c r="N224" s="125"/>
      <c r="O224" s="126">
        <f>3*10^-16</f>
        <v>2.9999999999999999E-16</v>
      </c>
      <c r="P224" s="146">
        <v>2.9999999999999999E-16</v>
      </c>
      <c r="Q224" s="118" t="s">
        <v>1076</v>
      </c>
      <c r="R224" s="1"/>
      <c r="S224" s="1" t="s">
        <v>1049</v>
      </c>
      <c r="T224" s="1"/>
      <c r="U224" s="24" t="s">
        <v>756</v>
      </c>
      <c r="V224" s="116" t="b">
        <f>OR(B224=$V$1,D224=$V$1,B224="2"&amp;$V$1)</f>
        <v>0</v>
      </c>
      <c r="W224" s="1" t="b">
        <f>OR(J224=$W$1,L224=$W$1,N224=$W$1,J224="2"&amp;$W$1,L224="2"&amp;$W$1,N224="2"&amp;$W$1)</f>
        <v>0</v>
      </c>
      <c r="X224" s="25" t="s">
        <v>1607</v>
      </c>
      <c r="Y224" s="25" t="str">
        <f>B224&amp;" + "&amp;D224&amp;IF(F224&lt;&gt;""," + "&amp;F224,"")&amp;"-&gt;"&amp;J224&amp;" + "&amp;L224&amp;IF(N224&lt;&gt;""," + "&amp;N224,"")</f>
        <v>NO- + NO3-&gt;NO3- + NO</v>
      </c>
      <c r="Z224" s="29">
        <f>O224</f>
        <v>2.9999999999999999E-16</v>
      </c>
    </row>
    <row r="225" spans="1:26" ht="22.5" hidden="1" customHeight="1" x14ac:dyDescent="0.25">
      <c r="A225" s="1" t="s">
        <v>240</v>
      </c>
      <c r="B225" s="1" t="s">
        <v>1320</v>
      </c>
      <c r="C225" s="2" t="s">
        <v>0</v>
      </c>
      <c r="D225" s="22" t="s">
        <v>649</v>
      </c>
      <c r="E225" s="2"/>
      <c r="F225" s="22"/>
      <c r="G225" s="4" t="s">
        <v>7</v>
      </c>
      <c r="H225" s="112" t="s">
        <v>1557</v>
      </c>
      <c r="I225" s="4" t="s">
        <v>7</v>
      </c>
      <c r="J225" s="124" t="s">
        <v>1393</v>
      </c>
      <c r="K225" s="2" t="s">
        <v>0</v>
      </c>
      <c r="L225" s="22" t="s">
        <v>688</v>
      </c>
      <c r="M225" s="2"/>
      <c r="N225" s="125"/>
      <c r="O225" s="126">
        <f>5*10^-16</f>
        <v>5.0000000000000004E-16</v>
      </c>
      <c r="P225" s="146">
        <v>2.9999999999999999E-16</v>
      </c>
      <c r="Q225" s="118" t="s">
        <v>1078</v>
      </c>
      <c r="R225" s="1"/>
      <c r="S225" s="1" t="s">
        <v>1049</v>
      </c>
      <c r="T225" s="1"/>
      <c r="U225" s="24" t="s">
        <v>691</v>
      </c>
      <c r="V225" s="116" t="b">
        <f>OR(B225=$V$1,D225=$V$1,B225="2"&amp;$V$1)</f>
        <v>0</v>
      </c>
      <c r="W225" s="1" t="b">
        <f>OR(J225=$W$1,L225=$W$1,N225=$W$1,J225="2"&amp;$W$1,L225="2"&amp;$W$1,N225="2"&amp;$W$1)</f>
        <v>0</v>
      </c>
      <c r="X225" s="25" t="s">
        <v>1607</v>
      </c>
      <c r="Y225" s="25" t="str">
        <f>B225&amp;" + "&amp;D225&amp;IF(F225&lt;&gt;""," + "&amp;F225,"")&amp;"-&gt;"&amp;J225&amp;" + "&amp;L225&amp;IF(N225&lt;&gt;""," + "&amp;N225,"")</f>
        <v>NO- + O2-&gt;O2- + NO</v>
      </c>
      <c r="Z225" s="29">
        <f>O225</f>
        <v>5.0000000000000004E-16</v>
      </c>
    </row>
    <row r="226" spans="1:26" ht="22.5" hidden="1" customHeight="1" x14ac:dyDescent="0.25">
      <c r="A226" s="1" t="s">
        <v>241</v>
      </c>
      <c r="B226" s="1" t="s">
        <v>1320</v>
      </c>
      <c r="C226" s="2" t="s">
        <v>0</v>
      </c>
      <c r="D226" s="22" t="s">
        <v>723</v>
      </c>
      <c r="E226" s="2"/>
      <c r="F226" s="22"/>
      <c r="G226" s="4" t="s">
        <v>7</v>
      </c>
      <c r="H226" s="112" t="s">
        <v>1557</v>
      </c>
      <c r="I226" s="4" t="s">
        <v>7</v>
      </c>
      <c r="J226" s="124" t="s">
        <v>1394</v>
      </c>
      <c r="K226" s="2" t="s">
        <v>0</v>
      </c>
      <c r="L226" s="22" t="s">
        <v>688</v>
      </c>
      <c r="M226" s="2"/>
      <c r="N226" s="125"/>
      <c r="O226" s="126">
        <f>3*10^-16</f>
        <v>2.9999999999999999E-16</v>
      </c>
      <c r="P226" s="146">
        <v>2.9999999999999999E-16</v>
      </c>
      <c r="Q226" s="118" t="s">
        <v>1076</v>
      </c>
      <c r="R226" s="1"/>
      <c r="S226" s="1" t="s">
        <v>1049</v>
      </c>
      <c r="T226" s="1"/>
      <c r="U226" s="24" t="s">
        <v>756</v>
      </c>
      <c r="V226" s="116" t="b">
        <f>OR(B226=$V$1,D226=$V$1,B226="2"&amp;$V$1)</f>
        <v>0</v>
      </c>
      <c r="W226" s="1" t="b">
        <f>OR(J226=$W$1,L226=$W$1,N226=$W$1,J226="2"&amp;$W$1,L226="2"&amp;$W$1,N226="2"&amp;$W$1)</f>
        <v>0</v>
      </c>
      <c r="X226" s="25" t="s">
        <v>1607</v>
      </c>
      <c r="Y226" s="25" t="str">
        <f>B226&amp;" + "&amp;D226&amp;IF(F226&lt;&gt;""," + "&amp;F226,"")&amp;"-&gt;"&amp;J226&amp;" + "&amp;L226&amp;IF(N226&lt;&gt;""," + "&amp;N226,"")</f>
        <v>NO- + O3-&gt;O3- + NO</v>
      </c>
      <c r="Z226" s="29">
        <f>O226</f>
        <v>2.9999999999999999E-16</v>
      </c>
    </row>
    <row r="227" spans="1:26" ht="22.5" hidden="1" customHeight="1" x14ac:dyDescent="0.25">
      <c r="A227" s="1" t="s">
        <v>89</v>
      </c>
      <c r="B227" s="1" t="s">
        <v>1319</v>
      </c>
      <c r="C227" s="2" t="s">
        <v>0</v>
      </c>
      <c r="D227" s="22" t="s">
        <v>639</v>
      </c>
      <c r="E227" s="2"/>
      <c r="F227" s="3"/>
      <c r="G227" s="4" t="s">
        <v>7</v>
      </c>
      <c r="H227" s="112" t="s">
        <v>1556</v>
      </c>
      <c r="I227" s="4" t="s">
        <v>7</v>
      </c>
      <c r="J227" s="124" t="s">
        <v>637</v>
      </c>
      <c r="K227" s="2" t="s">
        <v>0</v>
      </c>
      <c r="L227" s="22" t="s">
        <v>1</v>
      </c>
      <c r="M227" s="22"/>
      <c r="N227" s="125"/>
      <c r="O227" s="126">
        <f>1.4*10^-16</f>
        <v>1.3999999999999998E-16</v>
      </c>
      <c r="P227" s="146">
        <v>1.3999999999999998E-16</v>
      </c>
      <c r="Q227" s="118" t="s">
        <v>1075</v>
      </c>
      <c r="R227" s="1"/>
      <c r="S227" s="1" t="s">
        <v>1049</v>
      </c>
      <c r="T227" s="1"/>
      <c r="U227" s="24" t="s">
        <v>691</v>
      </c>
      <c r="V227" s="116" t="b">
        <f>OR(B227=$V$1,D227=$V$1,B227="2"&amp;$V$1)</f>
        <v>0</v>
      </c>
      <c r="W227" s="1" t="b">
        <f>OR(J227=$W$1,L227=$W$1,N227=$W$1,J227="2"&amp;$W$1,L227="2"&amp;$W$1,N227="2"&amp;$W$1)</f>
        <v>0</v>
      </c>
      <c r="X227" s="25" t="s">
        <v>1607</v>
      </c>
      <c r="Y227" s="25" t="str">
        <f>B227&amp;" + "&amp;D227&amp;IF(F227&lt;&gt;""," + "&amp;F227,"")&amp;"-&gt;"&amp;J227&amp;" + "&amp;L227&amp;IF(N227&lt;&gt;""," + "&amp;N227,"")</f>
        <v>O- + O-&gt;O2 + e</v>
      </c>
      <c r="Z227" s="29">
        <f>O227</f>
        <v>1.3999999999999998E-16</v>
      </c>
    </row>
    <row r="228" spans="1:26" ht="22.5" hidden="1" customHeight="1" x14ac:dyDescent="0.25">
      <c r="A228" s="1" t="s">
        <v>243</v>
      </c>
      <c r="B228" s="1" t="s">
        <v>1387</v>
      </c>
      <c r="C228" s="2" t="s">
        <v>0</v>
      </c>
      <c r="D228" s="22" t="s">
        <v>688</v>
      </c>
      <c r="E228" s="2"/>
      <c r="F228" s="22"/>
      <c r="G228" s="4" t="s">
        <v>7</v>
      </c>
      <c r="H228" s="112" t="s">
        <v>1557</v>
      </c>
      <c r="I228" s="4" t="s">
        <v>7</v>
      </c>
      <c r="J228" s="119" t="s">
        <v>1264</v>
      </c>
      <c r="K228" s="2" t="s">
        <v>0</v>
      </c>
      <c r="L228" s="22" t="s">
        <v>739</v>
      </c>
      <c r="M228" s="2"/>
      <c r="N228" s="125"/>
      <c r="O228" s="126">
        <f>2.9*10^-16</f>
        <v>2.8999999999999998E-16</v>
      </c>
      <c r="P228" s="146">
        <v>2.7499999999999998E-16</v>
      </c>
      <c r="Q228" s="118" t="s">
        <v>1633</v>
      </c>
      <c r="R228" s="1"/>
      <c r="S228" s="1" t="s">
        <v>1049</v>
      </c>
      <c r="T228" s="1"/>
      <c r="U228" s="24" t="s">
        <v>691</v>
      </c>
      <c r="V228" s="116" t="b">
        <f>OR(B228=$V$1,D228=$V$1,B228="2"&amp;$V$1)</f>
        <v>0</v>
      </c>
      <c r="W228" s="1" t="b">
        <f>OR(J228=$W$1,L228=$W$1,N228=$W$1,J228="2"&amp;$W$1,L228="2"&amp;$W$1,N228="2"&amp;$W$1)</f>
        <v>1</v>
      </c>
      <c r="X228" s="25" t="s">
        <v>1607</v>
      </c>
      <c r="Y228" s="25" t="str">
        <f>B228&amp;" + "&amp;D228&amp;IF(F228&lt;&gt;""," + "&amp;F228,"")&amp;"-&gt;"&amp;J228&amp;" + "&amp;L228&amp;IF(N228&lt;&gt;""," + "&amp;N228,"")</f>
        <v>NO2+ + NO-&gt;NO+ + NO2</v>
      </c>
      <c r="Z228" s="29">
        <f>O228</f>
        <v>2.8999999999999998E-16</v>
      </c>
    </row>
    <row r="229" spans="1:26" ht="22.5" hidden="1" customHeight="1" x14ac:dyDescent="0.25">
      <c r="A229" s="1" t="s">
        <v>244</v>
      </c>
      <c r="B229" s="1" t="s">
        <v>1392</v>
      </c>
      <c r="C229" s="2" t="s">
        <v>0</v>
      </c>
      <c r="D229" s="22" t="s">
        <v>674</v>
      </c>
      <c r="E229" s="2"/>
      <c r="F229" s="22"/>
      <c r="G229" s="4" t="s">
        <v>7</v>
      </c>
      <c r="H229" s="112" t="s">
        <v>1557</v>
      </c>
      <c r="I229" s="4" t="s">
        <v>7</v>
      </c>
      <c r="J229" s="124" t="s">
        <v>1391</v>
      </c>
      <c r="K229" s="2" t="s">
        <v>0</v>
      </c>
      <c r="L229" s="1" t="s">
        <v>740</v>
      </c>
      <c r="M229" s="2" t="s">
        <v>0</v>
      </c>
      <c r="N229" s="125" t="s">
        <v>688</v>
      </c>
      <c r="O229" s="126">
        <f>7*10^-16</f>
        <v>6.9999999999999994E-16</v>
      </c>
      <c r="P229" s="146">
        <v>6.9999999999999994E-16</v>
      </c>
      <c r="Q229" s="118" t="s">
        <v>1077</v>
      </c>
      <c r="R229" s="1"/>
      <c r="S229" s="1" t="s">
        <v>1049</v>
      </c>
      <c r="T229" s="1"/>
      <c r="U229" s="24" t="s">
        <v>691</v>
      </c>
      <c r="V229" s="116" t="b">
        <f>OR(B229=$V$1,D229=$V$1,B229="2"&amp;$V$1)</f>
        <v>0</v>
      </c>
      <c r="W229" s="1" t="b">
        <f>OR(J229=$W$1,L229=$W$1,N229=$W$1,J229="2"&amp;$W$1,L229="2"&amp;$W$1,N229="2"&amp;$W$1)</f>
        <v>0</v>
      </c>
      <c r="X229" s="25" t="s">
        <v>1607</v>
      </c>
      <c r="Y229" s="25" t="str">
        <f>B229&amp;" + "&amp;D229&amp;IF(F229&lt;&gt;""," + "&amp;F229,"")&amp;"-&gt;"&amp;J229&amp;" + "&amp;L229&amp;IF(N229&lt;&gt;""," + "&amp;N229,"")</f>
        <v>NO2- + N2O5-&gt;NO3- + NO3 + NO</v>
      </c>
      <c r="Z229" s="29">
        <f>O229</f>
        <v>6.9999999999999994E-16</v>
      </c>
    </row>
    <row r="230" spans="1:26" ht="22.5" hidden="1" customHeight="1" x14ac:dyDescent="0.25">
      <c r="A230" s="1" t="s">
        <v>245</v>
      </c>
      <c r="B230" s="1" t="s">
        <v>1392</v>
      </c>
      <c r="C230" s="2" t="s">
        <v>0</v>
      </c>
      <c r="D230" s="22" t="s">
        <v>688</v>
      </c>
      <c r="E230" s="2"/>
      <c r="F230" s="22"/>
      <c r="G230" s="4" t="s">
        <v>7</v>
      </c>
      <c r="H230" s="112" t="s">
        <v>1557</v>
      </c>
      <c r="I230" s="4" t="s">
        <v>7</v>
      </c>
      <c r="J230" s="124" t="s">
        <v>1325</v>
      </c>
      <c r="K230" s="2" t="s">
        <v>0</v>
      </c>
      <c r="L230" s="22" t="s">
        <v>739</v>
      </c>
      <c r="M230" s="2"/>
      <c r="N230" s="125"/>
      <c r="O230" s="126">
        <f>2.75*10^-16</f>
        <v>2.7499999999999998E-16</v>
      </c>
      <c r="P230" s="146">
        <v>2.7499999999999998E-16</v>
      </c>
      <c r="Q230" s="118" t="s">
        <v>1139</v>
      </c>
      <c r="R230" s="1"/>
      <c r="S230" s="1" t="s">
        <v>1049</v>
      </c>
      <c r="T230" s="1"/>
      <c r="U230" s="24" t="s">
        <v>796</v>
      </c>
      <c r="V230" s="116" t="b">
        <f>OR(B230=$V$1,D230=$V$1,B230="2"&amp;$V$1)</f>
        <v>0</v>
      </c>
      <c r="W230" s="1" t="b">
        <f>OR(J230=$W$1,L230=$W$1,N230=$W$1,J230="2"&amp;$W$1,L230="2"&amp;$W$1,N230="2"&amp;$W$1)</f>
        <v>1</v>
      </c>
      <c r="Y230" s="25" t="str">
        <f>B230&amp;" + "&amp;D230&amp;IF(F230&lt;&gt;""," + "&amp;F230,"")&amp;"-&gt;"&amp;J230&amp;" + "&amp;L230&amp;IF(N230&lt;&gt;""," + "&amp;N230,"")</f>
        <v>NO2- + NO-&gt;NO- + NO2</v>
      </c>
      <c r="Z230" s="29">
        <f>O230</f>
        <v>2.7499999999999998E-16</v>
      </c>
    </row>
    <row r="231" spans="1:26" ht="22.5" hidden="1" customHeight="1" x14ac:dyDescent="0.25">
      <c r="A231" s="1" t="s">
        <v>246</v>
      </c>
      <c r="B231" s="1" t="s">
        <v>1392</v>
      </c>
      <c r="C231" s="2" t="s">
        <v>0</v>
      </c>
      <c r="D231" s="1" t="s">
        <v>739</v>
      </c>
      <c r="E231" s="2"/>
      <c r="F231" s="22"/>
      <c r="G231" s="4" t="s">
        <v>7</v>
      </c>
      <c r="H231" s="112" t="s">
        <v>1557</v>
      </c>
      <c r="I231" s="4" t="s">
        <v>7</v>
      </c>
      <c r="J231" s="124" t="s">
        <v>1391</v>
      </c>
      <c r="K231" s="2" t="s">
        <v>0</v>
      </c>
      <c r="L231" s="22" t="s">
        <v>688</v>
      </c>
      <c r="M231" s="2"/>
      <c r="N231" s="125"/>
      <c r="O231" s="126">
        <f>4*10^-18</f>
        <v>4.0000000000000003E-18</v>
      </c>
      <c r="P231" s="146">
        <v>4.0000000000000003E-18</v>
      </c>
      <c r="Q231" s="118" t="s">
        <v>1140</v>
      </c>
      <c r="R231" s="1"/>
      <c r="S231" s="1" t="s">
        <v>1049</v>
      </c>
      <c r="T231" s="1"/>
      <c r="U231" s="24" t="s">
        <v>691</v>
      </c>
      <c r="V231" s="116" t="b">
        <f>OR(B231=$V$1,D231=$V$1,B231="2"&amp;$V$1)</f>
        <v>0</v>
      </c>
      <c r="W231" s="1" t="b">
        <f>OR(J231=$W$1,L231=$W$1,N231=$W$1,J231="2"&amp;$W$1,L231="2"&amp;$W$1,N231="2"&amp;$W$1)</f>
        <v>0</v>
      </c>
      <c r="X231" s="25" t="s">
        <v>1607</v>
      </c>
      <c r="Y231" s="25" t="str">
        <f>B231&amp;" + "&amp;D231&amp;IF(F231&lt;&gt;""," + "&amp;F231,"")&amp;"-&gt;"&amp;J231&amp;" + "&amp;L231&amp;IF(N231&lt;&gt;""," + "&amp;N231,"")</f>
        <v>NO2- + NO2-&gt;NO3- + NO</v>
      </c>
      <c r="Z231" s="29">
        <f>O231</f>
        <v>4.0000000000000003E-18</v>
      </c>
    </row>
    <row r="232" spans="1:26" ht="22.5" hidden="1" customHeight="1" x14ac:dyDescent="0.25">
      <c r="A232" s="1" t="s">
        <v>247</v>
      </c>
      <c r="B232" s="1" t="s">
        <v>1392</v>
      </c>
      <c r="C232" s="2" t="s">
        <v>0</v>
      </c>
      <c r="D232" s="1" t="s">
        <v>740</v>
      </c>
      <c r="E232" s="2"/>
      <c r="F232" s="22"/>
      <c r="G232" s="4" t="s">
        <v>7</v>
      </c>
      <c r="H232" s="112" t="s">
        <v>1557</v>
      </c>
      <c r="I232" s="4" t="s">
        <v>7</v>
      </c>
      <c r="J232" s="124" t="s">
        <v>1391</v>
      </c>
      <c r="K232" s="2" t="s">
        <v>0</v>
      </c>
      <c r="L232" s="22" t="s">
        <v>739</v>
      </c>
      <c r="M232" s="2"/>
      <c r="N232" s="125"/>
      <c r="O232" s="126">
        <f>5*10^-16</f>
        <v>5.0000000000000004E-16</v>
      </c>
      <c r="P232" s="146">
        <v>5.0000000000000004E-16</v>
      </c>
      <c r="Q232" s="118" t="s">
        <v>1078</v>
      </c>
      <c r="R232" s="1"/>
      <c r="S232" s="1" t="s">
        <v>1049</v>
      </c>
      <c r="T232" s="1"/>
      <c r="U232" s="24" t="s">
        <v>691</v>
      </c>
      <c r="V232" s="116" t="b">
        <f>OR(B232=$V$1,D232=$V$1,B232="2"&amp;$V$1)</f>
        <v>0</v>
      </c>
      <c r="W232" s="1" t="b">
        <f>OR(J232=$W$1,L232=$W$1,N232=$W$1,J232="2"&amp;$W$1,L232="2"&amp;$W$1,N232="2"&amp;$W$1)</f>
        <v>1</v>
      </c>
      <c r="X232" s="25" t="s">
        <v>1607</v>
      </c>
      <c r="Y232" s="25" t="str">
        <f>B232&amp;" + "&amp;D232&amp;IF(F232&lt;&gt;""," + "&amp;F232,"")&amp;"-&gt;"&amp;J232&amp;" + "&amp;L232&amp;IF(N232&lt;&gt;""," + "&amp;N232,"")</f>
        <v>NO2- + NO3-&gt;NO3- + NO2</v>
      </c>
      <c r="Z232" s="29">
        <f>O232</f>
        <v>5.0000000000000004E-16</v>
      </c>
    </row>
    <row r="233" spans="1:26" ht="22.5" hidden="1" customHeight="1" x14ac:dyDescent="0.25">
      <c r="A233" s="1" t="s">
        <v>248</v>
      </c>
      <c r="B233" s="1" t="s">
        <v>1392</v>
      </c>
      <c r="C233" s="2" t="s">
        <v>0</v>
      </c>
      <c r="D233" s="22" t="s">
        <v>723</v>
      </c>
      <c r="E233" s="2"/>
      <c r="F233" s="22"/>
      <c r="G233" s="4" t="s">
        <v>7</v>
      </c>
      <c r="H233" s="112" t="s">
        <v>1557</v>
      </c>
      <c r="I233" s="4" t="s">
        <v>7</v>
      </c>
      <c r="J233" s="124" t="s">
        <v>1391</v>
      </c>
      <c r="K233" s="2" t="s">
        <v>0</v>
      </c>
      <c r="L233" s="22" t="s">
        <v>649</v>
      </c>
      <c r="M233" s="2"/>
      <c r="N233" s="125"/>
      <c r="O233" s="126">
        <f>1.8*10^-17</f>
        <v>1.8000000000000003E-17</v>
      </c>
      <c r="P233" s="146">
        <v>1.8000000000000003E-17</v>
      </c>
      <c r="Q233" s="118" t="s">
        <v>1141</v>
      </c>
      <c r="R233" s="1"/>
      <c r="S233" s="1" t="s">
        <v>1049</v>
      </c>
      <c r="T233" s="1"/>
      <c r="U233" s="24" t="s">
        <v>691</v>
      </c>
      <c r="V233" s="116" t="b">
        <f>OR(B233=$V$1,D233=$V$1,B233="2"&amp;$V$1)</f>
        <v>0</v>
      </c>
      <c r="W233" s="1" t="b">
        <f>OR(J233=$W$1,L233=$W$1,N233=$W$1,J233="2"&amp;$W$1,L233="2"&amp;$W$1,N233="2"&amp;$W$1)</f>
        <v>0</v>
      </c>
      <c r="X233" s="25" t="s">
        <v>1607</v>
      </c>
      <c r="Y233" s="25" t="str">
        <f>B233&amp;" + "&amp;D233&amp;IF(F233&lt;&gt;""," + "&amp;F233,"")&amp;"-&gt;"&amp;J233&amp;" + "&amp;L233&amp;IF(N233&lt;&gt;""," + "&amp;N233,"")</f>
        <v>NO2- + O3-&gt;NO3- + O2</v>
      </c>
      <c r="Z233" s="29">
        <f>O233</f>
        <v>1.8000000000000003E-17</v>
      </c>
    </row>
    <row r="234" spans="1:26" ht="22.5" hidden="1" customHeight="1" x14ac:dyDescent="0.25">
      <c r="A234" s="1" t="s">
        <v>249</v>
      </c>
      <c r="B234" s="1" t="s">
        <v>1392</v>
      </c>
      <c r="C234" s="2" t="s">
        <v>0</v>
      </c>
      <c r="D234" s="22" t="s">
        <v>653</v>
      </c>
      <c r="E234" s="2"/>
      <c r="F234" s="22"/>
      <c r="G234" s="4" t="s">
        <v>7</v>
      </c>
      <c r="H234" s="112" t="s">
        <v>1557</v>
      </c>
      <c r="I234" s="4" t="s">
        <v>7</v>
      </c>
      <c r="J234" s="124" t="s">
        <v>1334</v>
      </c>
      <c r="K234" s="2" t="s">
        <v>0</v>
      </c>
      <c r="L234" s="22" t="s">
        <v>688</v>
      </c>
      <c r="M234" s="2"/>
      <c r="N234" s="125"/>
      <c r="O234" s="126">
        <f>3*10^-16</f>
        <v>2.9999999999999999E-16</v>
      </c>
      <c r="P234" s="146">
        <v>3.9999999999999999E-16</v>
      </c>
      <c r="Q234" s="118" t="s">
        <v>1076</v>
      </c>
      <c r="R234" s="1"/>
      <c r="S234" s="1" t="s">
        <v>1049</v>
      </c>
      <c r="T234" s="1"/>
      <c r="U234" s="24" t="s">
        <v>691</v>
      </c>
      <c r="V234" s="116" t="b">
        <f>OR(B234=$V$1,D234=$V$1,B234="2"&amp;$V$1)</f>
        <v>0</v>
      </c>
      <c r="W234" s="1" t="b">
        <f>OR(J234=$W$1,L234=$W$1,N234=$W$1,J234="2"&amp;$W$1,L234="2"&amp;$W$1,N234="2"&amp;$W$1)</f>
        <v>0</v>
      </c>
      <c r="X234" s="25" t="s">
        <v>1607</v>
      </c>
      <c r="Y234" s="25" t="str">
        <f>B234&amp;" + "&amp;D234&amp;IF(F234&lt;&gt;""," + "&amp;F234,"")&amp;"-&gt;"&amp;J234&amp;" + "&amp;L234&amp;IF(N234&lt;&gt;""," + "&amp;N234,"")</f>
        <v>NO2- + H-&gt;OH- + NO</v>
      </c>
      <c r="Z234" s="29">
        <f>O234</f>
        <v>2.9999999999999999E-16</v>
      </c>
    </row>
    <row r="235" spans="1:26" ht="22.5" hidden="1" customHeight="1" x14ac:dyDescent="0.25">
      <c r="A235" s="1" t="s">
        <v>250</v>
      </c>
      <c r="B235" s="1" t="s">
        <v>1392</v>
      </c>
      <c r="C235" s="2" t="s">
        <v>0</v>
      </c>
      <c r="D235" s="22" t="s">
        <v>738</v>
      </c>
      <c r="E235" s="2"/>
      <c r="F235" s="22"/>
      <c r="G235" s="4" t="s">
        <v>7</v>
      </c>
      <c r="H235" s="112" t="s">
        <v>1557</v>
      </c>
      <c r="I235" s="4" t="s">
        <v>7</v>
      </c>
      <c r="J235" s="124" t="s">
        <v>1391</v>
      </c>
      <c r="K235" s="2" t="s">
        <v>0</v>
      </c>
      <c r="L235" s="22" t="s">
        <v>689</v>
      </c>
      <c r="M235" s="2"/>
      <c r="N235" s="125"/>
      <c r="O235" s="126">
        <f>5*10^-19</f>
        <v>5.0000000000000004E-19</v>
      </c>
      <c r="P235" s="146">
        <v>5.0000000000000004E-19</v>
      </c>
      <c r="Q235" s="118" t="s">
        <v>1142</v>
      </c>
      <c r="R235" s="1"/>
      <c r="S235" s="1" t="s">
        <v>1049</v>
      </c>
      <c r="T235" s="1"/>
      <c r="U235" s="24" t="s">
        <v>1031</v>
      </c>
      <c r="V235" s="116" t="b">
        <f>OR(B235=$V$1,D235=$V$1,B235="2"&amp;$V$1)</f>
        <v>0</v>
      </c>
      <c r="W235" s="1" t="b">
        <f>OR(J235=$W$1,L235=$W$1,N235=$W$1,J235="2"&amp;$W$1,L235="2"&amp;$W$1,N235="2"&amp;$W$1)</f>
        <v>0</v>
      </c>
      <c r="Y235" s="25" t="str">
        <f>B235&amp;" + "&amp;D235&amp;IF(F235&lt;&gt;""," + "&amp;F235,"")&amp;"-&gt;"&amp;J235&amp;" + "&amp;L235&amp;IF(N235&lt;&gt;""," + "&amp;N235,"")</f>
        <v>NO2- + N2O-&gt;NO3- + N2</v>
      </c>
      <c r="Z235" s="29">
        <f>O235</f>
        <v>5.0000000000000004E-19</v>
      </c>
    </row>
    <row r="236" spans="1:26" ht="22.5" hidden="1" customHeight="1" x14ac:dyDescent="0.25">
      <c r="A236" s="1" t="s">
        <v>251</v>
      </c>
      <c r="B236" s="1" t="s">
        <v>1392</v>
      </c>
      <c r="C236" s="2" t="s">
        <v>0</v>
      </c>
      <c r="D236" s="22" t="s">
        <v>816</v>
      </c>
      <c r="E236" s="2"/>
      <c r="F236" s="22"/>
      <c r="G236" s="4" t="s">
        <v>7</v>
      </c>
      <c r="H236" s="112" t="s">
        <v>1557</v>
      </c>
      <c r="I236" s="4" t="s">
        <v>7</v>
      </c>
      <c r="J236" s="124" t="s">
        <v>1391</v>
      </c>
      <c r="K236" s="2" t="s">
        <v>0</v>
      </c>
      <c r="L236" s="22" t="s">
        <v>818</v>
      </c>
      <c r="M236" s="2"/>
      <c r="N236" s="125"/>
      <c r="O236" s="126">
        <f>1.6*10^-15</f>
        <v>1.6000000000000002E-15</v>
      </c>
      <c r="P236" s="146">
        <v>1.6000000000000002E-15</v>
      </c>
      <c r="Q236" s="118" t="s">
        <v>1113</v>
      </c>
      <c r="R236" s="1"/>
      <c r="S236" s="1" t="s">
        <v>1049</v>
      </c>
      <c r="T236" s="1"/>
      <c r="U236" s="24" t="s">
        <v>1031</v>
      </c>
      <c r="V236" s="116" t="b">
        <f>OR(B236=$V$1,D236=$V$1,B236="2"&amp;$V$1)</f>
        <v>0</v>
      </c>
      <c r="W236" s="1" t="b">
        <f>OR(J236=$W$1,L236=$W$1,N236=$W$1,J236="2"&amp;$W$1,L236="2"&amp;$W$1,N236="2"&amp;$W$1)</f>
        <v>0</v>
      </c>
      <c r="Y236" s="25" t="str">
        <f>B236&amp;" + "&amp;D236&amp;IF(F236&lt;&gt;""," + "&amp;F236,"")&amp;"-&gt;"&amp;J236&amp;" + "&amp;L236&amp;IF(N236&lt;&gt;""," + "&amp;N236,"")</f>
        <v>NO2- + HNO3-&gt;NO3- + HNO2</v>
      </c>
      <c r="Z236" s="29">
        <f>O236</f>
        <v>1.6000000000000002E-15</v>
      </c>
    </row>
    <row r="237" spans="1:26" ht="22.5" hidden="1" customHeight="1" x14ac:dyDescent="0.25">
      <c r="A237" s="1" t="s">
        <v>252</v>
      </c>
      <c r="B237" s="1" t="s">
        <v>1391</v>
      </c>
      <c r="C237" s="2" t="s">
        <v>0</v>
      </c>
      <c r="D237" s="22" t="s">
        <v>688</v>
      </c>
      <c r="E237" s="2"/>
      <c r="F237" s="22"/>
      <c r="G237" s="4" t="s">
        <v>7</v>
      </c>
      <c r="H237" s="112" t="s">
        <v>1557</v>
      </c>
      <c r="I237" s="4" t="s">
        <v>7</v>
      </c>
      <c r="J237" s="124" t="s">
        <v>1392</v>
      </c>
      <c r="K237" s="2" t="s">
        <v>0</v>
      </c>
      <c r="L237" s="22" t="s">
        <v>739</v>
      </c>
      <c r="M237" s="2"/>
      <c r="N237" s="125"/>
      <c r="O237" s="126">
        <f>3*10^-21</f>
        <v>2.9999999999999995E-21</v>
      </c>
      <c r="P237" s="146">
        <v>2.9999999999999995E-21</v>
      </c>
      <c r="Q237" s="118" t="s">
        <v>1143</v>
      </c>
      <c r="R237" s="1"/>
      <c r="S237" s="1" t="s">
        <v>1049</v>
      </c>
      <c r="T237" s="1"/>
      <c r="U237" s="24" t="s">
        <v>691</v>
      </c>
      <c r="V237" s="116" t="b">
        <f>OR(B237=$V$1,D237=$V$1,B237="2"&amp;$V$1)</f>
        <v>0</v>
      </c>
      <c r="W237" s="1" t="b">
        <f>OR(J237=$W$1,L237=$W$1,N237=$W$1,J237="2"&amp;$W$1,L237="2"&amp;$W$1,N237="2"&amp;$W$1)</f>
        <v>1</v>
      </c>
      <c r="X237" s="25" t="s">
        <v>1607</v>
      </c>
      <c r="Y237" s="25" t="str">
        <f>B237&amp;" + "&amp;D237&amp;IF(F237&lt;&gt;""," + "&amp;F237,"")&amp;"-&gt;"&amp;J237&amp;" + "&amp;L237&amp;IF(N237&lt;&gt;""," + "&amp;N237,"")</f>
        <v>NO3- + NO-&gt;NO2- + NO2</v>
      </c>
      <c r="Z237" s="29">
        <f>O237</f>
        <v>2.9999999999999995E-21</v>
      </c>
    </row>
    <row r="238" spans="1:26" ht="22.5" hidden="1" customHeight="1" x14ac:dyDescent="0.25">
      <c r="A238" s="1" t="s">
        <v>146</v>
      </c>
      <c r="B238" s="1" t="s">
        <v>1384</v>
      </c>
      <c r="C238" s="2" t="s">
        <v>0</v>
      </c>
      <c r="D238" s="22" t="s">
        <v>639</v>
      </c>
      <c r="E238" s="2"/>
      <c r="F238" s="22"/>
      <c r="G238" s="4" t="s">
        <v>7</v>
      </c>
      <c r="H238" s="112" t="s">
        <v>1557</v>
      </c>
      <c r="I238" s="4" t="s">
        <v>7</v>
      </c>
      <c r="J238" s="119" t="s">
        <v>1264</v>
      </c>
      <c r="K238" s="2" t="s">
        <v>0</v>
      </c>
      <c r="L238" s="22" t="s">
        <v>636</v>
      </c>
      <c r="M238" s="2"/>
      <c r="N238" s="125"/>
      <c r="O238" s="126">
        <f>1.3*10^-16*(300/Teff)^0.5</f>
        <v>1.2935483472729859E-16</v>
      </c>
      <c r="P238" s="146">
        <v>1.3999999999999998E-16</v>
      </c>
      <c r="Q238" s="118" t="s">
        <v>1627</v>
      </c>
      <c r="R238" s="1"/>
      <c r="S238" s="1" t="s">
        <v>1049</v>
      </c>
      <c r="T238" s="1"/>
      <c r="U238" s="24" t="s">
        <v>756</v>
      </c>
      <c r="V238" s="116" t="b">
        <f>OR(B238=$V$1,D238=$V$1,B238="2"&amp;$V$1)</f>
        <v>0</v>
      </c>
      <c r="W238" s="1" t="b">
        <f>OR(J238=$W$1,L238=$W$1,N238=$W$1,J238="2"&amp;$W$1,L238="2"&amp;$W$1,N238="2"&amp;$W$1)</f>
        <v>0</v>
      </c>
      <c r="X238" s="25" t="s">
        <v>1607</v>
      </c>
      <c r="Y238" s="25" t="str">
        <f>B238&amp;" + "&amp;D238&amp;IF(F238&lt;&gt;""," + "&amp;F238,"")&amp;"-&gt;"&amp;J238&amp;" + "&amp;L238&amp;IF(N238&lt;&gt;""," + "&amp;N238,"")</f>
        <v>N2+ + O-&gt;NO+ + N</v>
      </c>
      <c r="Z238" s="29">
        <f>O238</f>
        <v>1.2935483472729859E-16</v>
      </c>
    </row>
    <row r="239" spans="1:26" ht="22.5" hidden="1" customHeight="1" x14ac:dyDescent="0.25">
      <c r="A239" s="1"/>
      <c r="B239" s="1" t="s">
        <v>1644</v>
      </c>
      <c r="C239" s="2" t="s">
        <v>0</v>
      </c>
      <c r="D239" s="22" t="s">
        <v>1569</v>
      </c>
      <c r="E239" s="2"/>
      <c r="F239" s="22"/>
      <c r="G239" s="4" t="s">
        <v>7</v>
      </c>
      <c r="H239" s="112" t="s">
        <v>1557</v>
      </c>
      <c r="I239" s="4" t="s">
        <v>7</v>
      </c>
      <c r="J239" s="1" t="s">
        <v>1647</v>
      </c>
      <c r="K239" s="2" t="s">
        <v>0</v>
      </c>
      <c r="L239" s="22" t="s">
        <v>653</v>
      </c>
      <c r="M239" s="2"/>
      <c r="N239" s="125"/>
      <c r="O239" s="126">
        <f>1.6*10^-15</f>
        <v>1.6000000000000002E-15</v>
      </c>
      <c r="P239" s="146"/>
      <c r="Q239" s="118" t="s">
        <v>1113</v>
      </c>
      <c r="R239" s="1"/>
      <c r="S239" s="1"/>
      <c r="T239" s="1"/>
      <c r="U239" s="24" t="s">
        <v>691</v>
      </c>
      <c r="V239" s="116" t="b">
        <f>OR(B239=$V$1,D239=$V$1,B239="2"&amp;$V$1)</f>
        <v>0</v>
      </c>
      <c r="W239" s="1" t="b">
        <f>OR(J239=$W$1,L239=$W$1,N239=$W$1,J239="2"&amp;$W$1,L239="2"&amp;$W$1,N239="2"&amp;$W$1)</f>
        <v>0</v>
      </c>
      <c r="X239" s="25" t="s">
        <v>1607</v>
      </c>
      <c r="Y239" s="25" t="str">
        <f>B239&amp;" + "&amp;D239&amp;IF(F239&lt;&gt;""," + "&amp;F239,"")&amp;"-&gt;"&amp;J239&amp;" + "&amp;L239&amp;IF(N239&lt;&gt;""," + "&amp;N239,"")</f>
        <v>HN2+ + H2-&gt;HN3+ + H</v>
      </c>
      <c r="Z239" s="29">
        <f>O239</f>
        <v>1.6000000000000002E-15</v>
      </c>
    </row>
    <row r="240" spans="1:26" ht="22.5" hidden="1" customHeight="1" x14ac:dyDescent="0.25">
      <c r="A240" s="1"/>
      <c r="B240" s="1" t="s">
        <v>1644</v>
      </c>
      <c r="C240" s="2" t="s">
        <v>0</v>
      </c>
      <c r="D240" s="22" t="s">
        <v>1567</v>
      </c>
      <c r="E240" s="2"/>
      <c r="F240" s="22"/>
      <c r="G240" s="4" t="s">
        <v>7</v>
      </c>
      <c r="H240" s="112" t="s">
        <v>1557</v>
      </c>
      <c r="I240" s="4" t="s">
        <v>7</v>
      </c>
      <c r="J240" s="22" t="s">
        <v>1645</v>
      </c>
      <c r="K240" s="2" t="s">
        <v>0</v>
      </c>
      <c r="L240" s="22" t="s">
        <v>1565</v>
      </c>
      <c r="M240" s="2"/>
      <c r="N240" s="125"/>
      <c r="O240" s="126">
        <f>5*10^-16</f>
        <v>5.0000000000000004E-16</v>
      </c>
      <c r="P240" s="146"/>
      <c r="Q240" s="118" t="s">
        <v>1646</v>
      </c>
      <c r="R240" s="1"/>
      <c r="S240" s="1"/>
      <c r="T240" s="1"/>
      <c r="U240" s="24" t="s">
        <v>691</v>
      </c>
      <c r="V240" s="116" t="b">
        <f>OR(B240=$V$1,D240=$V$1,B240="2"&amp;$V$1)</f>
        <v>0</v>
      </c>
      <c r="W240" s="1" t="b">
        <f>OR(J240=$W$1,L240=$W$1,N240=$W$1,J240="2"&amp;$W$1,L240="2"&amp;$W$1,N240="2"&amp;$W$1)</f>
        <v>0</v>
      </c>
      <c r="X240" s="25" t="s">
        <v>1607</v>
      </c>
      <c r="Y240" s="25" t="str">
        <f>B240&amp;" + "&amp;D240&amp;IF(F240&lt;&gt;""," + "&amp;F240,"")&amp;"-&gt;"&amp;J240&amp;" + "&amp;L240&amp;IF(N240&lt;&gt;""," + "&amp;N240,"")</f>
        <v>HN2+ + H2O-&gt;H3O+ + N2</v>
      </c>
      <c r="Z240" s="29">
        <f>O240</f>
        <v>5.0000000000000004E-16</v>
      </c>
    </row>
    <row r="241" spans="1:26" ht="22.5" hidden="1" customHeight="1" x14ac:dyDescent="0.25">
      <c r="A241" s="1" t="s">
        <v>254</v>
      </c>
      <c r="B241" s="1" t="s">
        <v>685</v>
      </c>
      <c r="C241" s="2" t="s">
        <v>0</v>
      </c>
      <c r="D241" s="1" t="s">
        <v>649</v>
      </c>
      <c r="E241" s="2"/>
      <c r="F241" s="22"/>
      <c r="G241" s="4" t="s">
        <v>7</v>
      </c>
      <c r="H241" s="112" t="s">
        <v>1557</v>
      </c>
      <c r="I241" s="4" t="s">
        <v>7</v>
      </c>
      <c r="J241" s="122" t="s">
        <v>1402</v>
      </c>
      <c r="K241" s="2" t="s">
        <v>0</v>
      </c>
      <c r="L241" s="22" t="s">
        <v>653</v>
      </c>
      <c r="M241" s="2"/>
      <c r="N241" s="125"/>
      <c r="O241" s="126">
        <f>1.17*10^-15</f>
        <v>1.1700000000000001E-15</v>
      </c>
      <c r="P241" s="146">
        <v>1.1700000000000001E-15</v>
      </c>
      <c r="Q241" s="118" t="s">
        <v>1145</v>
      </c>
      <c r="R241" s="1"/>
      <c r="S241" s="1" t="s">
        <v>1049</v>
      </c>
      <c r="T241" s="1"/>
      <c r="U241" s="24" t="s">
        <v>756</v>
      </c>
      <c r="V241" s="116" t="b">
        <f>OR(B241=$V$1,D241=$V$1,B241="2"&amp;$V$1)</f>
        <v>0</v>
      </c>
      <c r="W241" s="1" t="b">
        <f>OR(J241=$W$1,L241=$W$1,N241=$W$1,J241="2"&amp;$W$1,L241="2"&amp;$W$1,N241="2"&amp;$W$1)</f>
        <v>0</v>
      </c>
      <c r="X241" s="25" t="s">
        <v>1607</v>
      </c>
      <c r="Y241" s="25" t="str">
        <f>B241&amp;" + "&amp;D241&amp;IF(F241&lt;&gt;""," + "&amp;F241,"")&amp;"-&gt;"&amp;J241&amp;" + "&amp;L241&amp;IF(N241&lt;&gt;""," + "&amp;N241,"")</f>
        <v>H+ + O2-&gt;O2+ + H</v>
      </c>
      <c r="Z241" s="29">
        <f>O241</f>
        <v>1.1700000000000001E-15</v>
      </c>
    </row>
    <row r="242" spans="1:26" ht="22.5" hidden="1" customHeight="1" x14ac:dyDescent="0.25">
      <c r="A242" s="1" t="s">
        <v>255</v>
      </c>
      <c r="B242" s="1" t="s">
        <v>685</v>
      </c>
      <c r="C242" s="2" t="s">
        <v>0</v>
      </c>
      <c r="D242" s="22" t="s">
        <v>688</v>
      </c>
      <c r="E242" s="2"/>
      <c r="F242" s="22"/>
      <c r="G242" s="4" t="s">
        <v>7</v>
      </c>
      <c r="H242" s="112" t="s">
        <v>1557</v>
      </c>
      <c r="I242" s="4" t="s">
        <v>7</v>
      </c>
      <c r="J242" s="119" t="s">
        <v>1264</v>
      </c>
      <c r="K242" s="2" t="s">
        <v>0</v>
      </c>
      <c r="L242" s="22" t="s">
        <v>653</v>
      </c>
      <c r="M242" s="2"/>
      <c r="N242" s="125"/>
      <c r="O242" s="126">
        <f>1.9*10^-15</f>
        <v>1.9000000000000001E-15</v>
      </c>
      <c r="P242" s="146">
        <v>1.9000000000000001E-15</v>
      </c>
      <c r="Q242" s="118" t="s">
        <v>1074</v>
      </c>
      <c r="R242" s="1"/>
      <c r="S242" s="1" t="s">
        <v>1049</v>
      </c>
      <c r="T242" s="1"/>
      <c r="U242" s="24" t="s">
        <v>691</v>
      </c>
      <c r="V242" s="116" t="b">
        <f>OR(B242=$V$1,D242=$V$1,B242="2"&amp;$V$1)</f>
        <v>0</v>
      </c>
      <c r="W242" s="1" t="b">
        <f>OR(J242=$W$1,L242=$W$1,N242=$W$1,J242="2"&amp;$W$1,L242="2"&amp;$W$1,N242="2"&amp;$W$1)</f>
        <v>0</v>
      </c>
      <c r="X242" s="25" t="s">
        <v>1607</v>
      </c>
      <c r="Y242" s="25" t="str">
        <f>B242&amp;" + "&amp;D242&amp;IF(F242&lt;&gt;""," + "&amp;F242,"")&amp;"-&gt;"&amp;J242&amp;" + "&amp;L242&amp;IF(N242&lt;&gt;""," + "&amp;N242,"")</f>
        <v>H+ + NO-&gt;NO+ + H</v>
      </c>
      <c r="Z242" s="29">
        <f>O242</f>
        <v>1.9000000000000001E-15</v>
      </c>
    </row>
    <row r="243" spans="1:26" ht="22.5" hidden="1" customHeight="1" x14ac:dyDescent="0.25">
      <c r="A243" s="1" t="s">
        <v>256</v>
      </c>
      <c r="B243" s="1" t="s">
        <v>685</v>
      </c>
      <c r="C243" s="2" t="s">
        <v>0</v>
      </c>
      <c r="D243" s="3" t="s">
        <v>640</v>
      </c>
      <c r="E243" s="2" t="s">
        <v>0</v>
      </c>
      <c r="F243" s="22" t="s">
        <v>687</v>
      </c>
      <c r="G243" s="4" t="s">
        <v>7</v>
      </c>
      <c r="H243" s="112" t="s">
        <v>1630</v>
      </c>
      <c r="I243" s="4" t="s">
        <v>7</v>
      </c>
      <c r="J243" s="119" t="s">
        <v>1404</v>
      </c>
      <c r="K243" s="2" t="s">
        <v>0</v>
      </c>
      <c r="L243" s="22" t="s">
        <v>687</v>
      </c>
      <c r="M243" s="2"/>
      <c r="N243" s="125"/>
      <c r="O243" s="126">
        <f>3.1*10^-41*NM</f>
        <v>8.3700000000000009E-16</v>
      </c>
      <c r="P243" s="146">
        <v>8.3700000000000009E-16</v>
      </c>
      <c r="Q243" s="118" t="s">
        <v>1146</v>
      </c>
      <c r="R243" s="1"/>
      <c r="S243" s="1" t="s">
        <v>1049</v>
      </c>
      <c r="T243" s="1"/>
      <c r="U243" s="24" t="s">
        <v>691</v>
      </c>
      <c r="V243" s="116" t="b">
        <f>OR(B243=$V$1,D243=$V$1,B243="2"&amp;$V$1)</f>
        <v>0</v>
      </c>
      <c r="W243" s="1" t="b">
        <f>OR(J243=$W$1,L243=$W$1,N243=$W$1,J243="2"&amp;$W$1,L243="2"&amp;$W$1,N243="2"&amp;$W$1)</f>
        <v>0</v>
      </c>
      <c r="X243" s="25" t="s">
        <v>1607</v>
      </c>
      <c r="Y243" s="25" t="str">
        <f>B243&amp;" + "&amp;D243&amp;IF(F243&lt;&gt;""," + "&amp;F243,"")&amp;"-&gt;"&amp;J243&amp;" + "&amp;L243&amp;IF(N243&lt;&gt;""," + "&amp;N243,"")</f>
        <v>H+ + H2 + M-&gt;H3+ + M</v>
      </c>
      <c r="Z243" s="29">
        <f>O243</f>
        <v>8.3700000000000009E-16</v>
      </c>
    </row>
    <row r="244" spans="1:26" ht="22.5" hidden="1" customHeight="1" x14ac:dyDescent="0.25">
      <c r="A244" s="1"/>
      <c r="B244" s="1" t="s">
        <v>685</v>
      </c>
      <c r="C244" s="2" t="s">
        <v>0</v>
      </c>
      <c r="D244" s="22" t="s">
        <v>654</v>
      </c>
      <c r="E244" s="2"/>
      <c r="F244" s="22"/>
      <c r="G244" s="4" t="s">
        <v>7</v>
      </c>
      <c r="H244" s="112" t="s">
        <v>1557</v>
      </c>
      <c r="I244" s="4" t="s">
        <v>7</v>
      </c>
      <c r="J244" s="152" t="s">
        <v>652</v>
      </c>
      <c r="K244" s="2" t="s">
        <v>0</v>
      </c>
      <c r="L244" s="22" t="s">
        <v>653</v>
      </c>
      <c r="M244" s="2"/>
      <c r="N244" s="125"/>
      <c r="O244" s="126">
        <f>2*10^-15</f>
        <v>2.0000000000000002E-15</v>
      </c>
      <c r="P244" s="146"/>
      <c r="Q244" s="118" t="s">
        <v>1153</v>
      </c>
      <c r="R244" s="1"/>
      <c r="S244" s="1"/>
      <c r="T244" s="1"/>
      <c r="U244" s="24" t="s">
        <v>756</v>
      </c>
      <c r="V244" s="116" t="b">
        <f>OR(B244=$V$1,D244=$V$1,B244="2"&amp;$V$1)</f>
        <v>0</v>
      </c>
      <c r="W244" s="1" t="b">
        <f>OR(J244=$W$1,L244=$W$1,N244=$W$1,J244="2"&amp;$W$1,L244="2"&amp;$W$1,N244="2"&amp;$W$1)</f>
        <v>0</v>
      </c>
      <c r="X244" s="25" t="s">
        <v>1607</v>
      </c>
      <c r="Y244" s="25" t="str">
        <f>B244&amp;" + "&amp;D244&amp;IF(F244&lt;&gt;""," + "&amp;F244,"")&amp;"-&gt;"&amp;J244&amp;" + "&amp;L244&amp;IF(N244&lt;&gt;""," + "&amp;N244,"")</f>
        <v>H+ + OH-&gt;OH+ + H</v>
      </c>
      <c r="Z244" s="29">
        <f>O244</f>
        <v>2.0000000000000002E-15</v>
      </c>
    </row>
    <row r="245" spans="1:26" ht="22.5" hidden="1" customHeight="1" x14ac:dyDescent="0.25">
      <c r="A245" s="1" t="s">
        <v>257</v>
      </c>
      <c r="B245" s="1" t="s">
        <v>685</v>
      </c>
      <c r="C245" s="2" t="s">
        <v>0</v>
      </c>
      <c r="D245" s="3" t="s">
        <v>641</v>
      </c>
      <c r="E245" s="2"/>
      <c r="F245" s="22"/>
      <c r="G245" s="4" t="s">
        <v>7</v>
      </c>
      <c r="H245" s="112" t="s">
        <v>1557</v>
      </c>
      <c r="I245" s="4" t="s">
        <v>7</v>
      </c>
      <c r="J245" s="119" t="s">
        <v>1256</v>
      </c>
      <c r="K245" s="2" t="s">
        <v>0</v>
      </c>
      <c r="L245" s="22" t="s">
        <v>653</v>
      </c>
      <c r="M245" s="2"/>
      <c r="N245" s="125"/>
      <c r="O245" s="126">
        <f>8.2*10^-15</f>
        <v>8.1999999999999991E-15</v>
      </c>
      <c r="P245" s="146">
        <v>8.1999999999999991E-15</v>
      </c>
      <c r="Q245" s="118" t="s">
        <v>1147</v>
      </c>
      <c r="R245" s="1"/>
      <c r="S245" s="1" t="s">
        <v>1049</v>
      </c>
      <c r="T245" s="1"/>
      <c r="U245" s="24" t="s">
        <v>756</v>
      </c>
      <c r="V245" s="116" t="b">
        <f>OR(B245=$V$1,D245=$V$1,B245="2"&amp;$V$1)</f>
        <v>0</v>
      </c>
      <c r="W245" s="1" t="b">
        <f>OR(J245=$W$1,L245=$W$1,N245=$W$1,J245="2"&amp;$W$1,L245="2"&amp;$W$1,N245="2"&amp;$W$1)</f>
        <v>0</v>
      </c>
      <c r="X245" s="25" t="s">
        <v>1607</v>
      </c>
      <c r="Y245" s="25" t="str">
        <f>B245&amp;" + "&amp;D245&amp;IF(F245&lt;&gt;""," + "&amp;F245,"")&amp;"-&gt;"&amp;J245&amp;" + "&amp;L245&amp;IF(N245&lt;&gt;""," + "&amp;N245,"")</f>
        <v>H+ + H2O-&gt;H2O+ + H</v>
      </c>
      <c r="Z245" s="29">
        <f>O245</f>
        <v>8.1999999999999991E-15</v>
      </c>
    </row>
    <row r="246" spans="1:26" ht="22.5" hidden="1" customHeight="1" x14ac:dyDescent="0.25">
      <c r="A246" s="1"/>
      <c r="B246" s="1" t="s">
        <v>1323</v>
      </c>
      <c r="C246" s="2" t="s">
        <v>0</v>
      </c>
      <c r="D246" s="3" t="s">
        <v>688</v>
      </c>
      <c r="E246" s="2"/>
      <c r="F246" s="22"/>
      <c r="G246" s="4" t="s">
        <v>7</v>
      </c>
      <c r="H246" s="112" t="s">
        <v>1556</v>
      </c>
      <c r="I246" s="4" t="s">
        <v>7</v>
      </c>
      <c r="J246" s="21" t="s">
        <v>811</v>
      </c>
      <c r="K246" s="2" t="s">
        <v>0</v>
      </c>
      <c r="L246" s="22" t="s">
        <v>1</v>
      </c>
      <c r="M246" s="2"/>
      <c r="N246" s="125"/>
      <c r="O246" s="126">
        <f>4.6*10^-16</f>
        <v>4.5999999999999998E-16</v>
      </c>
      <c r="P246" s="146"/>
      <c r="Q246" s="118" t="s">
        <v>1121</v>
      </c>
      <c r="R246" s="1"/>
      <c r="S246" s="1"/>
      <c r="T246" s="1"/>
      <c r="U246" s="24" t="s">
        <v>691</v>
      </c>
      <c r="V246" s="116" t="b">
        <f>OR(B246=$V$1,D246=$V$1,B246="2"&amp;$V$1)</f>
        <v>0</v>
      </c>
      <c r="W246" s="1" t="b">
        <f>OR(J246=$W$1,L246=$W$1,N246=$W$1,J246="2"&amp;$W$1,L246="2"&amp;$W$1,N246="2"&amp;$W$1)</f>
        <v>0</v>
      </c>
      <c r="X246" s="25" t="s">
        <v>1607</v>
      </c>
      <c r="Y246" s="25" t="str">
        <f>B246&amp;" + "&amp;D246&amp;IF(F246&lt;&gt;""," + "&amp;F246,"")&amp;"-&gt;"&amp;J246&amp;" + "&amp;L246&amp;IF(N246&lt;&gt;""," + "&amp;N246,"")</f>
        <v>H- + NO-&gt;HNO + e</v>
      </c>
      <c r="Z246" s="29">
        <f>O246</f>
        <v>4.5999999999999998E-16</v>
      </c>
    </row>
    <row r="247" spans="1:26" ht="22.5" hidden="1" customHeight="1" x14ac:dyDescent="0.25">
      <c r="A247" s="1"/>
      <c r="B247" s="1" t="s">
        <v>1323</v>
      </c>
      <c r="C247" s="2" t="s">
        <v>0</v>
      </c>
      <c r="D247" s="3" t="s">
        <v>640</v>
      </c>
      <c r="E247" s="2"/>
      <c r="F247" s="22"/>
      <c r="G247" s="4" t="s">
        <v>7</v>
      </c>
      <c r="H247" s="112" t="s">
        <v>1556</v>
      </c>
      <c r="I247" s="4" t="s">
        <v>7</v>
      </c>
      <c r="J247" s="3" t="s">
        <v>641</v>
      </c>
      <c r="K247" s="2" t="s">
        <v>0</v>
      </c>
      <c r="L247" s="22" t="s">
        <v>1</v>
      </c>
      <c r="M247" s="2"/>
      <c r="N247" s="125"/>
      <c r="O247" s="126">
        <f>7*10^-16</f>
        <v>6.9999999999999994E-16</v>
      </c>
      <c r="P247" s="146"/>
      <c r="Q247" s="118" t="s">
        <v>1077</v>
      </c>
      <c r="R247" s="1"/>
      <c r="S247" s="1"/>
      <c r="T247" s="1"/>
      <c r="U247" s="24" t="s">
        <v>691</v>
      </c>
      <c r="V247" s="116" t="b">
        <f>OR(B247=$V$1,D247=$V$1,B247="2"&amp;$V$1)</f>
        <v>0</v>
      </c>
      <c r="W247" s="1" t="b">
        <f>OR(J247=$W$1,L247=$W$1,N247=$W$1,J247="2"&amp;$W$1,L247="2"&amp;$W$1,N247="2"&amp;$W$1)</f>
        <v>0</v>
      </c>
      <c r="X247" s="25" t="s">
        <v>1607</v>
      </c>
      <c r="Y247" s="25" t="str">
        <f>B247&amp;" + "&amp;D247&amp;IF(F247&lt;&gt;""," + "&amp;F247,"")&amp;"-&gt;"&amp;J247&amp;" + "&amp;L247&amp;IF(N247&lt;&gt;""," + "&amp;N247,"")</f>
        <v>H- + H2-&gt;H2O + e</v>
      </c>
      <c r="Z247" s="29">
        <f>O247</f>
        <v>6.9999999999999994E-16</v>
      </c>
    </row>
    <row r="248" spans="1:26" ht="22.5" hidden="1" customHeight="1" x14ac:dyDescent="0.25">
      <c r="A248" s="1" t="s">
        <v>258</v>
      </c>
      <c r="B248" s="1" t="s">
        <v>1323</v>
      </c>
      <c r="C248" s="2" t="s">
        <v>0</v>
      </c>
      <c r="D248" s="22" t="s">
        <v>738</v>
      </c>
      <c r="E248" s="2"/>
      <c r="F248" s="22"/>
      <c r="G248" s="4" t="s">
        <v>7</v>
      </c>
      <c r="H248" s="112" t="s">
        <v>1557</v>
      </c>
      <c r="I248" s="4" t="s">
        <v>7</v>
      </c>
      <c r="J248" s="124" t="s">
        <v>1334</v>
      </c>
      <c r="K248" s="2" t="s">
        <v>0</v>
      </c>
      <c r="L248" s="22" t="s">
        <v>689</v>
      </c>
      <c r="M248" s="2"/>
      <c r="N248" s="125"/>
      <c r="O248" s="126">
        <f>1.1*10^-15</f>
        <v>1.1000000000000001E-15</v>
      </c>
      <c r="P248" s="146">
        <v>1.1000000000000001E-15</v>
      </c>
      <c r="Q248" s="118" t="s">
        <v>1148</v>
      </c>
      <c r="R248" s="1"/>
      <c r="S248" s="1" t="s">
        <v>1049</v>
      </c>
      <c r="T248" s="1"/>
      <c r="U248" s="24" t="s">
        <v>691</v>
      </c>
      <c r="V248" s="116" t="b">
        <f>OR(B248=$V$1,D248=$V$1,B248="2"&amp;$V$1)</f>
        <v>0</v>
      </c>
      <c r="W248" s="1" t="b">
        <f>OR(J248=$W$1,L248=$W$1,N248=$W$1,J248="2"&amp;$W$1,L248="2"&amp;$W$1,N248="2"&amp;$W$1)</f>
        <v>0</v>
      </c>
      <c r="X248" s="25" t="s">
        <v>1607</v>
      </c>
      <c r="Y248" s="25" t="str">
        <f>B248&amp;" + "&amp;D248&amp;IF(F248&lt;&gt;""," + "&amp;F248,"")&amp;"-&gt;"&amp;J248&amp;" + "&amp;L248&amp;IF(N248&lt;&gt;""," + "&amp;N248,"")</f>
        <v>H- + N2O-&gt;OH- + N2</v>
      </c>
      <c r="Z248" s="29">
        <f>O248</f>
        <v>1.1000000000000001E-15</v>
      </c>
    </row>
    <row r="249" spans="1:26" ht="22.5" hidden="1" customHeight="1" x14ac:dyDescent="0.25">
      <c r="A249" s="1" t="s">
        <v>259</v>
      </c>
      <c r="B249" s="1" t="s">
        <v>1323</v>
      </c>
      <c r="C249" s="2" t="s">
        <v>0</v>
      </c>
      <c r="D249" s="22" t="s">
        <v>739</v>
      </c>
      <c r="E249" s="2"/>
      <c r="F249" s="22"/>
      <c r="G249" s="4" t="s">
        <v>7</v>
      </c>
      <c r="H249" s="112" t="s">
        <v>1557</v>
      </c>
      <c r="I249" s="4" t="s">
        <v>7</v>
      </c>
      <c r="J249" s="124" t="s">
        <v>1392</v>
      </c>
      <c r="K249" s="2" t="s">
        <v>0</v>
      </c>
      <c r="L249" s="22" t="s">
        <v>653</v>
      </c>
      <c r="M249" s="2"/>
      <c r="N249" s="125"/>
      <c r="O249" s="126">
        <f>2.9*10^-15</f>
        <v>2.9000000000000002E-15</v>
      </c>
      <c r="P249" s="146">
        <v>2.9000000000000002E-15</v>
      </c>
      <c r="Q249" s="118" t="s">
        <v>1149</v>
      </c>
      <c r="R249" s="1"/>
      <c r="S249" s="1" t="s">
        <v>1049</v>
      </c>
      <c r="T249" s="1"/>
      <c r="U249" s="24" t="s">
        <v>691</v>
      </c>
      <c r="V249" s="116" t="b">
        <f>OR(B249=$V$1,D249=$V$1,B249="2"&amp;$V$1)</f>
        <v>0</v>
      </c>
      <c r="W249" s="1" t="b">
        <f>OR(J249=$W$1,L249=$W$1,N249=$W$1,J249="2"&amp;$W$1,L249="2"&amp;$W$1,N249="2"&amp;$W$1)</f>
        <v>0</v>
      </c>
      <c r="X249" s="25" t="s">
        <v>1607</v>
      </c>
      <c r="Y249" s="25" t="str">
        <f>B249&amp;" + "&amp;D249&amp;IF(F249&lt;&gt;""," + "&amp;F249,"")&amp;"-&gt;"&amp;J249&amp;" + "&amp;L249&amp;IF(N249&lt;&gt;""," + "&amp;N249,"")</f>
        <v>H- + NO2-&gt;NO2- + H</v>
      </c>
      <c r="Z249" s="29">
        <f>O249</f>
        <v>2.9000000000000002E-15</v>
      </c>
    </row>
    <row r="250" spans="1:26" ht="22.5" hidden="1" customHeight="1" x14ac:dyDescent="0.25">
      <c r="A250" s="1" t="s">
        <v>260</v>
      </c>
      <c r="B250" s="1" t="s">
        <v>1323</v>
      </c>
      <c r="C250" s="2" t="s">
        <v>0</v>
      </c>
      <c r="D250" s="3" t="s">
        <v>641</v>
      </c>
      <c r="E250" s="2"/>
      <c r="F250" s="22"/>
      <c r="G250" s="4" t="s">
        <v>7</v>
      </c>
      <c r="H250" s="112" t="s">
        <v>1557</v>
      </c>
      <c r="I250" s="4" t="s">
        <v>7</v>
      </c>
      <c r="J250" s="124" t="s">
        <v>1334</v>
      </c>
      <c r="K250" s="2" t="s">
        <v>0</v>
      </c>
      <c r="L250" s="22" t="s">
        <v>699</v>
      </c>
      <c r="M250" s="2"/>
      <c r="N250" s="125"/>
      <c r="O250" s="126">
        <f>3.8*10^-15</f>
        <v>3.8000000000000002E-15</v>
      </c>
      <c r="P250" s="146">
        <v>3.8000000000000002E-15</v>
      </c>
      <c r="Q250" s="118" t="s">
        <v>1150</v>
      </c>
      <c r="R250" s="1"/>
      <c r="S250" s="1" t="s">
        <v>1049</v>
      </c>
      <c r="T250" s="1"/>
      <c r="U250" s="24" t="s">
        <v>691</v>
      </c>
      <c r="V250" s="116" t="b">
        <f>OR(B250=$V$1,D250=$V$1,B250="2"&amp;$V$1)</f>
        <v>0</v>
      </c>
      <c r="W250" s="1" t="b">
        <f>OR(J250=$W$1,L250=$W$1,N250=$W$1,J250="2"&amp;$W$1,L250="2"&amp;$W$1,N250="2"&amp;$W$1)</f>
        <v>0</v>
      </c>
      <c r="X250" s="25" t="s">
        <v>1607</v>
      </c>
      <c r="Y250" s="25" t="str">
        <f>B250&amp;" + "&amp;D250&amp;IF(F250&lt;&gt;""," + "&amp;F250,"")&amp;"-&gt;"&amp;J250&amp;" + "&amp;L250&amp;IF(N250&lt;&gt;""," + "&amp;N250,"")</f>
        <v>H- + H2O-&gt;OH- + H2</v>
      </c>
      <c r="Z250" s="29">
        <f>O250</f>
        <v>3.8000000000000002E-15</v>
      </c>
    </row>
    <row r="251" spans="1:26" ht="22.5" hidden="1" customHeight="1" x14ac:dyDescent="0.25">
      <c r="A251" s="1" t="s">
        <v>261</v>
      </c>
      <c r="B251" s="1" t="s">
        <v>1382</v>
      </c>
      <c r="C251" s="2" t="s">
        <v>0</v>
      </c>
      <c r="D251" s="1" t="s">
        <v>649</v>
      </c>
      <c r="E251" s="2"/>
      <c r="F251" s="22"/>
      <c r="G251" s="4" t="s">
        <v>7</v>
      </c>
      <c r="H251" s="112" t="s">
        <v>1557</v>
      </c>
      <c r="I251" s="4" t="s">
        <v>7</v>
      </c>
      <c r="J251" s="122" t="s">
        <v>1402</v>
      </c>
      <c r="K251" s="2" t="s">
        <v>0</v>
      </c>
      <c r="L251" s="22" t="s">
        <v>699</v>
      </c>
      <c r="M251" s="2"/>
      <c r="N251" s="125"/>
      <c r="O251" s="126">
        <f>7.83*10^-16</f>
        <v>7.83E-16</v>
      </c>
      <c r="P251" s="146">
        <v>7.83E-16</v>
      </c>
      <c r="Q251" s="118" t="s">
        <v>1151</v>
      </c>
      <c r="R251" s="1"/>
      <c r="S251" s="1" t="s">
        <v>1049</v>
      </c>
      <c r="T251" s="1"/>
      <c r="U251" s="24" t="s">
        <v>756</v>
      </c>
      <c r="V251" s="116" t="b">
        <f>OR(B251=$V$1,D251=$V$1,B251="2"&amp;$V$1)</f>
        <v>0</v>
      </c>
      <c r="W251" s="1" t="b">
        <f>OR(J251=$W$1,L251=$W$1,N251=$W$1,J251="2"&amp;$W$1,L251="2"&amp;$W$1,N251="2"&amp;$W$1)</f>
        <v>0</v>
      </c>
      <c r="X251" s="25" t="s">
        <v>1607</v>
      </c>
      <c r="Y251" s="25" t="str">
        <f>B251&amp;" + "&amp;D251&amp;IF(F251&lt;&gt;""," + "&amp;F251,"")&amp;"-&gt;"&amp;J251&amp;" + "&amp;L251&amp;IF(N251&lt;&gt;""," + "&amp;N251,"")</f>
        <v>H2+ + O2-&gt;O2+ + H2</v>
      </c>
      <c r="Z251" s="29">
        <f>O251</f>
        <v>7.83E-16</v>
      </c>
    </row>
    <row r="252" spans="1:26" ht="22.5" hidden="1" customHeight="1" x14ac:dyDescent="0.25">
      <c r="A252" s="1"/>
      <c r="B252" s="1" t="s">
        <v>835</v>
      </c>
      <c r="C252" s="2" t="s">
        <v>0</v>
      </c>
      <c r="D252" s="1" t="s">
        <v>637</v>
      </c>
      <c r="E252" s="2"/>
      <c r="F252" s="22"/>
      <c r="G252" s="4" t="s">
        <v>7</v>
      </c>
      <c r="H252" s="112" t="s">
        <v>1557</v>
      </c>
      <c r="I252" s="4"/>
      <c r="J252" s="150" t="s">
        <v>1664</v>
      </c>
      <c r="K252" s="2" t="s">
        <v>0</v>
      </c>
      <c r="L252" s="22" t="s">
        <v>639</v>
      </c>
      <c r="M252" s="2"/>
      <c r="N252" s="125"/>
      <c r="O252" s="126">
        <f>1.9*10^-15</f>
        <v>1.9000000000000001E-15</v>
      </c>
      <c r="P252" s="146"/>
      <c r="Q252" s="118" t="s">
        <v>1074</v>
      </c>
      <c r="R252" s="1"/>
      <c r="S252" s="1"/>
      <c r="T252" s="1"/>
      <c r="U252" s="24" t="s">
        <v>756</v>
      </c>
      <c r="V252" s="116" t="b">
        <f>OR(B252=$V$1,D252=$V$1,B252="2"&amp;$V$1)</f>
        <v>0</v>
      </c>
      <c r="W252" s="1" t="b">
        <f>OR(J252=$W$1,L252=$W$1,N252=$W$1,J252="2"&amp;$W$1,L252="2"&amp;$W$1,N252="2"&amp;$W$1)</f>
        <v>0</v>
      </c>
      <c r="X252" s="25" t="s">
        <v>1607</v>
      </c>
      <c r="Y252" s="25" t="str">
        <f>B252&amp;" + "&amp;D252&amp;IF(F252&lt;&gt;""," + "&amp;F252,"")&amp;"-&gt;"&amp;J252&amp;" + "&amp;L252&amp;IF(N252&lt;&gt;""," + "&amp;N252,"")</f>
        <v>H2+ + O2-&gt;H2O+ + O</v>
      </c>
      <c r="Z252" s="29">
        <f>O252</f>
        <v>1.9000000000000001E-15</v>
      </c>
    </row>
    <row r="253" spans="1:26" ht="22.5" hidden="1" customHeight="1" x14ac:dyDescent="0.25">
      <c r="A253" s="1" t="s">
        <v>262</v>
      </c>
      <c r="B253" s="1" t="s">
        <v>1382</v>
      </c>
      <c r="C253" s="2" t="s">
        <v>0</v>
      </c>
      <c r="D253" s="22" t="s">
        <v>653</v>
      </c>
      <c r="E253" s="2"/>
      <c r="F253" s="22"/>
      <c r="G253" s="4" t="s">
        <v>7</v>
      </c>
      <c r="H253" s="112" t="s">
        <v>1557</v>
      </c>
      <c r="I253" s="4" t="s">
        <v>7</v>
      </c>
      <c r="J253" s="119" t="s">
        <v>1258</v>
      </c>
      <c r="K253" s="2" t="s">
        <v>0</v>
      </c>
      <c r="L253" s="22" t="s">
        <v>699</v>
      </c>
      <c r="M253" s="2"/>
      <c r="N253" s="125"/>
      <c r="O253" s="126">
        <f>6.4*10^-16</f>
        <v>6.4000000000000005E-16</v>
      </c>
      <c r="P253" s="146">
        <v>6.4000000000000005E-16</v>
      </c>
      <c r="Q253" s="118" t="s">
        <v>1152</v>
      </c>
      <c r="R253" s="1"/>
      <c r="S253" s="1" t="s">
        <v>1049</v>
      </c>
      <c r="T253" s="1"/>
      <c r="U253" s="24" t="s">
        <v>756</v>
      </c>
      <c r="V253" s="116" t="b">
        <f>OR(B253=$V$1,D253=$V$1,B253="2"&amp;$V$1)</f>
        <v>0</v>
      </c>
      <c r="W253" s="1" t="b">
        <f>OR(J253=$W$1,L253=$W$1,N253=$W$1,J253="2"&amp;$W$1,L253="2"&amp;$W$1,N253="2"&amp;$W$1)</f>
        <v>0</v>
      </c>
      <c r="X253" s="25" t="s">
        <v>1607</v>
      </c>
      <c r="Y253" s="25" t="str">
        <f>B253&amp;" + "&amp;D253&amp;IF(F253&lt;&gt;""," + "&amp;F253,"")&amp;"-&gt;"&amp;J253&amp;" + "&amp;L253&amp;IF(N253&lt;&gt;""," + "&amp;N253,"")</f>
        <v>H2+ + H-&gt;H+ + H2</v>
      </c>
      <c r="Z253" s="29">
        <f>O253</f>
        <v>6.4000000000000005E-16</v>
      </c>
    </row>
    <row r="254" spans="1:26" ht="22.5" hidden="1" customHeight="1" x14ac:dyDescent="0.25">
      <c r="A254" s="1" t="s">
        <v>263</v>
      </c>
      <c r="B254" s="1" t="s">
        <v>1382</v>
      </c>
      <c r="C254" s="2" t="s">
        <v>0</v>
      </c>
      <c r="D254" s="3" t="s">
        <v>640</v>
      </c>
      <c r="E254" s="2"/>
      <c r="F254" s="22"/>
      <c r="G254" s="4" t="s">
        <v>7</v>
      </c>
      <c r="H254" s="112" t="s">
        <v>1557</v>
      </c>
      <c r="I254" s="4" t="s">
        <v>7</v>
      </c>
      <c r="J254" s="1" t="s">
        <v>1383</v>
      </c>
      <c r="K254" s="2" t="s">
        <v>0</v>
      </c>
      <c r="L254" s="22" t="s">
        <v>653</v>
      </c>
      <c r="M254" s="2"/>
      <c r="N254" s="125"/>
      <c r="O254" s="126">
        <f>2*10^-15</f>
        <v>2.0000000000000002E-15</v>
      </c>
      <c r="P254" s="146">
        <v>2.0000000000000002E-15</v>
      </c>
      <c r="Q254" s="118" t="s">
        <v>1153</v>
      </c>
      <c r="R254" s="1"/>
      <c r="S254" s="1" t="s">
        <v>1049</v>
      </c>
      <c r="T254" s="1"/>
      <c r="U254" s="24" t="s">
        <v>796</v>
      </c>
      <c r="V254" s="116" t="b">
        <f>OR(B254=$V$1,D254=$V$1,B254="2"&amp;$V$1)</f>
        <v>0</v>
      </c>
      <c r="W254" s="1" t="b">
        <f>OR(J254=$W$1,L254=$W$1,N254=$W$1,J254="2"&amp;$W$1,L254="2"&amp;$W$1,N254="2"&amp;$W$1)</f>
        <v>0</v>
      </c>
      <c r="Y254" s="25" t="str">
        <f>B254&amp;" + "&amp;D254&amp;IF(F254&lt;&gt;""," + "&amp;F254,"")&amp;"-&gt;"&amp;J254&amp;" + "&amp;L254&amp;IF(N254&lt;&gt;""," + "&amp;N254,"")</f>
        <v>H2+ + H2-&gt;H3+ + H</v>
      </c>
      <c r="Z254" s="29">
        <f>O254</f>
        <v>2.0000000000000002E-15</v>
      </c>
    </row>
    <row r="255" spans="1:26" ht="22.5" hidden="1" customHeight="1" x14ac:dyDescent="0.25">
      <c r="A255" s="1" t="s">
        <v>264</v>
      </c>
      <c r="B255" s="1" t="s">
        <v>1382</v>
      </c>
      <c r="C255" s="2" t="s">
        <v>0</v>
      </c>
      <c r="D255" s="3" t="s">
        <v>641</v>
      </c>
      <c r="E255" s="2"/>
      <c r="F255" s="22"/>
      <c r="G255" s="4" t="s">
        <v>7</v>
      </c>
      <c r="H255" s="112" t="s">
        <v>1557</v>
      </c>
      <c r="I255" s="4" t="s">
        <v>7</v>
      </c>
      <c r="J255" s="119" t="s">
        <v>1266</v>
      </c>
      <c r="K255" s="2" t="s">
        <v>0</v>
      </c>
      <c r="L255" s="22" t="s">
        <v>653</v>
      </c>
      <c r="M255" s="2"/>
      <c r="N255" s="125"/>
      <c r="O255" s="126">
        <f>3.43*10^-15</f>
        <v>3.4300000000000005E-15</v>
      </c>
      <c r="P255" s="146">
        <v>3.4300000000000005E-15</v>
      </c>
      <c r="Q255" s="118" t="s">
        <v>1154</v>
      </c>
      <c r="R255" s="1"/>
      <c r="S255" s="1" t="s">
        <v>1049</v>
      </c>
      <c r="T255" s="1"/>
      <c r="U255" s="24" t="s">
        <v>756</v>
      </c>
      <c r="V255" s="116" t="b">
        <f>OR(B255=$V$1,D255=$V$1,B255="2"&amp;$V$1)</f>
        <v>0</v>
      </c>
      <c r="W255" s="1" t="b">
        <f>OR(J255=$W$1,L255=$W$1,N255=$W$1,J255="2"&amp;$W$1,L255="2"&amp;$W$1,N255="2"&amp;$W$1)</f>
        <v>0</v>
      </c>
      <c r="X255" s="25" t="s">
        <v>1607</v>
      </c>
      <c r="Y255" s="25" t="str">
        <f>B255&amp;" + "&amp;D255&amp;IF(F255&lt;&gt;""," + "&amp;F255,"")&amp;"-&gt;"&amp;J255&amp;" + "&amp;L255&amp;IF(N255&lt;&gt;""," + "&amp;N255,"")</f>
        <v>H2+ + H2O-&gt;H3O+ + H</v>
      </c>
      <c r="Z255" s="29">
        <f>O255</f>
        <v>3.4300000000000005E-15</v>
      </c>
    </row>
    <row r="256" spans="1:26" ht="22.5" hidden="1" customHeight="1" x14ac:dyDescent="0.25">
      <c r="A256" s="1" t="s">
        <v>265</v>
      </c>
      <c r="B256" s="1" t="s">
        <v>1382</v>
      </c>
      <c r="C256" s="2" t="s">
        <v>0</v>
      </c>
      <c r="D256" s="3" t="s">
        <v>641</v>
      </c>
      <c r="E256" s="2"/>
      <c r="F256" s="22"/>
      <c r="G256" s="4" t="s">
        <v>7</v>
      </c>
      <c r="H256" s="112" t="s">
        <v>1557</v>
      </c>
      <c r="I256" s="4" t="s">
        <v>7</v>
      </c>
      <c r="J256" s="119" t="s">
        <v>1256</v>
      </c>
      <c r="K256" s="2" t="s">
        <v>0</v>
      </c>
      <c r="L256" s="22" t="s">
        <v>699</v>
      </c>
      <c r="M256" s="2"/>
      <c r="N256" s="125"/>
      <c r="O256" s="126">
        <f>3.86*10^-15</f>
        <v>3.8600000000000004E-15</v>
      </c>
      <c r="P256" s="146">
        <v>3.8600000000000004E-15</v>
      </c>
      <c r="Q256" s="118" t="s">
        <v>1155</v>
      </c>
      <c r="R256" s="1"/>
      <c r="S256" s="1" t="s">
        <v>1049</v>
      </c>
      <c r="T256" s="1"/>
      <c r="U256" s="24" t="s">
        <v>756</v>
      </c>
      <c r="V256" s="116" t="b">
        <f>OR(B256=$V$1,D256=$V$1,B256="2"&amp;$V$1)</f>
        <v>0</v>
      </c>
      <c r="W256" s="1" t="b">
        <f>OR(J256=$W$1,L256=$W$1,N256=$W$1,J256="2"&amp;$W$1,L256="2"&amp;$W$1,N256="2"&amp;$W$1)</f>
        <v>0</v>
      </c>
      <c r="X256" s="25" t="s">
        <v>1607</v>
      </c>
      <c r="Y256" s="25" t="str">
        <f>B256&amp;" + "&amp;D256&amp;IF(F256&lt;&gt;""," + "&amp;F256,"")&amp;"-&gt;"&amp;J256&amp;" + "&amp;L256&amp;IF(N256&lt;&gt;""," + "&amp;N256,"")</f>
        <v>H2+ + H2O-&gt;H2O+ + H2</v>
      </c>
      <c r="Z256" s="29">
        <f>O256</f>
        <v>3.8600000000000004E-15</v>
      </c>
    </row>
    <row r="257" spans="1:26" ht="22.5" hidden="1" customHeight="1" x14ac:dyDescent="0.25">
      <c r="A257" s="1" t="s">
        <v>280</v>
      </c>
      <c r="B257" s="1" t="s">
        <v>696</v>
      </c>
      <c r="C257" s="2" t="s">
        <v>0</v>
      </c>
      <c r="D257" s="22" t="s">
        <v>639</v>
      </c>
      <c r="E257" s="2"/>
      <c r="F257" s="22"/>
      <c r="G257" s="4" t="s">
        <v>7</v>
      </c>
      <c r="H257" s="112" t="s">
        <v>1557</v>
      </c>
      <c r="I257" s="4" t="s">
        <v>7</v>
      </c>
      <c r="J257" s="122" t="s">
        <v>1402</v>
      </c>
      <c r="K257" s="2" t="s">
        <v>0</v>
      </c>
      <c r="L257" s="1" t="s">
        <v>699</v>
      </c>
      <c r="M257" s="2"/>
      <c r="N257" s="125"/>
      <c r="O257" s="126">
        <f>5.5*10^-17</f>
        <v>5.5000000000000006E-17</v>
      </c>
      <c r="P257" s="146">
        <v>5.5000000000000006E-17</v>
      </c>
      <c r="Q257" s="118" t="s">
        <v>1163</v>
      </c>
      <c r="R257" s="1"/>
      <c r="S257" s="1" t="s">
        <v>1049</v>
      </c>
      <c r="T257" s="1"/>
      <c r="U257" s="24" t="s">
        <v>756</v>
      </c>
      <c r="V257" s="116" t="b">
        <f>OR(B257=$V$1,D257=$V$1,B257="2"&amp;$V$1)</f>
        <v>0</v>
      </c>
      <c r="W257" s="1" t="b">
        <f>OR(J257=$W$1,L257=$W$1,N257=$W$1,J257="2"&amp;$W$1,L257="2"&amp;$W$1,N257="2"&amp;$W$1)</f>
        <v>0</v>
      </c>
      <c r="X257" s="25" t="s">
        <v>1607</v>
      </c>
      <c r="Y257" s="25" t="str">
        <f>B257&amp;" + "&amp;D257&amp;IF(F257&lt;&gt;""," + "&amp;F257,"")&amp;"-&gt;"&amp;J257&amp;" + "&amp;L257&amp;IF(N257&lt;&gt;""," + "&amp;N257,"")</f>
        <v>H2O+ + O-&gt;O2+ + H2</v>
      </c>
      <c r="Z257" s="29">
        <f>O257</f>
        <v>5.5000000000000006E-17</v>
      </c>
    </row>
    <row r="258" spans="1:26" ht="22.5" hidden="1" customHeight="1" x14ac:dyDescent="0.25">
      <c r="A258" s="1" t="s">
        <v>267</v>
      </c>
      <c r="B258" s="1" t="s">
        <v>1383</v>
      </c>
      <c r="C258" s="2" t="s">
        <v>0</v>
      </c>
      <c r="D258" s="3" t="s">
        <v>641</v>
      </c>
      <c r="E258" s="2"/>
      <c r="F258" s="22"/>
      <c r="G258" s="4" t="s">
        <v>7</v>
      </c>
      <c r="H258" s="112" t="s">
        <v>1557</v>
      </c>
      <c r="I258" s="4" t="s">
        <v>7</v>
      </c>
      <c r="J258" s="119" t="s">
        <v>1266</v>
      </c>
      <c r="K258" s="2" t="s">
        <v>0</v>
      </c>
      <c r="L258" s="22" t="s">
        <v>699</v>
      </c>
      <c r="M258" s="2"/>
      <c r="N258" s="125"/>
      <c r="O258" s="126">
        <f>3*10^-15</f>
        <v>3.0000000000000002E-15</v>
      </c>
      <c r="P258" s="146">
        <v>3.0000000000000002E-15</v>
      </c>
      <c r="Q258" s="118" t="s">
        <v>1109</v>
      </c>
      <c r="R258" s="1"/>
      <c r="S258" s="1" t="s">
        <v>1049</v>
      </c>
      <c r="T258" s="1"/>
      <c r="U258" s="24" t="s">
        <v>691</v>
      </c>
      <c r="V258" s="116" t="b">
        <f>OR(B258=$V$1,D258=$V$1,B258="2"&amp;$V$1)</f>
        <v>0</v>
      </c>
      <c r="W258" s="1" t="b">
        <f>OR(J258=$W$1,L258=$W$1,N258=$W$1,J258="2"&amp;$W$1,L258="2"&amp;$W$1,N258="2"&amp;$W$1)</f>
        <v>0</v>
      </c>
      <c r="X258" s="25" t="s">
        <v>1607</v>
      </c>
      <c r="Y258" s="25" t="str">
        <f>B258&amp;" + "&amp;D258&amp;IF(F258&lt;&gt;""," + "&amp;F258,"")&amp;"-&gt;"&amp;J258&amp;" + "&amp;L258&amp;IF(N258&lt;&gt;""," + "&amp;N258,"")</f>
        <v>H3+ + H2O-&gt;H3O+ + H2</v>
      </c>
      <c r="Z258" s="29">
        <f>O258</f>
        <v>3.0000000000000002E-15</v>
      </c>
    </row>
    <row r="259" spans="1:26" ht="22.5" hidden="1" customHeight="1" x14ac:dyDescent="0.25">
      <c r="A259" s="1" t="s">
        <v>268</v>
      </c>
      <c r="B259" s="1" t="s">
        <v>1383</v>
      </c>
      <c r="C259" s="2" t="s">
        <v>0</v>
      </c>
      <c r="D259" s="22" t="s">
        <v>739</v>
      </c>
      <c r="E259" s="2"/>
      <c r="F259" s="22"/>
      <c r="G259" s="4" t="s">
        <v>7</v>
      </c>
      <c r="H259" s="112" t="s">
        <v>1557</v>
      </c>
      <c r="I259" s="4" t="s">
        <v>7</v>
      </c>
      <c r="J259" s="119" t="s">
        <v>1264</v>
      </c>
      <c r="K259" s="2" t="s">
        <v>0</v>
      </c>
      <c r="L259" s="22" t="s">
        <v>654</v>
      </c>
      <c r="M259" s="2" t="s">
        <v>0</v>
      </c>
      <c r="N259" s="125" t="s">
        <v>699</v>
      </c>
      <c r="O259" s="126">
        <f>7*10^-16</f>
        <v>6.9999999999999994E-16</v>
      </c>
      <c r="P259" s="146">
        <v>6.9999999999999994E-16</v>
      </c>
      <c r="Q259" s="118" t="s">
        <v>1077</v>
      </c>
      <c r="R259" s="1"/>
      <c r="S259" s="1" t="s">
        <v>1049</v>
      </c>
      <c r="T259" s="1"/>
      <c r="U259" s="24" t="s">
        <v>691</v>
      </c>
      <c r="V259" s="116" t="b">
        <f>OR(B259=$V$1,D259=$V$1,B259="2"&amp;$V$1)</f>
        <v>0</v>
      </c>
      <c r="W259" s="1" t="b">
        <f>OR(J259=$W$1,L259=$W$1,N259=$W$1,J259="2"&amp;$W$1,L259="2"&amp;$W$1,N259="2"&amp;$W$1)</f>
        <v>0</v>
      </c>
      <c r="X259" s="25" t="s">
        <v>1607</v>
      </c>
      <c r="Y259" s="25" t="str">
        <f>B259&amp;" + "&amp;D259&amp;IF(F259&lt;&gt;""," + "&amp;F259,"")&amp;"-&gt;"&amp;J259&amp;" + "&amp;L259&amp;IF(N259&lt;&gt;""," + "&amp;N259,"")</f>
        <v>H3+ + NO2-&gt;NO+ + OH + H2</v>
      </c>
      <c r="Z259" s="29">
        <f>O259</f>
        <v>6.9999999999999994E-16</v>
      </c>
    </row>
    <row r="260" spans="1:26" ht="22.5" hidden="1" customHeight="1" x14ac:dyDescent="0.25">
      <c r="A260" s="1" t="s">
        <v>269</v>
      </c>
      <c r="B260" s="1" t="s">
        <v>652</v>
      </c>
      <c r="C260" s="2" t="s">
        <v>0</v>
      </c>
      <c r="D260" s="1" t="s">
        <v>649</v>
      </c>
      <c r="E260" s="2"/>
      <c r="F260" s="22"/>
      <c r="G260" s="4" t="s">
        <v>7</v>
      </c>
      <c r="H260" s="112" t="s">
        <v>1557</v>
      </c>
      <c r="I260" s="4" t="s">
        <v>7</v>
      </c>
      <c r="J260" s="122" t="s">
        <v>1402</v>
      </c>
      <c r="K260" s="2" t="s">
        <v>0</v>
      </c>
      <c r="L260" s="22" t="s">
        <v>654</v>
      </c>
      <c r="M260" s="2"/>
      <c r="N260" s="125"/>
      <c r="O260" s="126">
        <f>5.9*10^-16</f>
        <v>5.9000000000000002E-16</v>
      </c>
      <c r="P260" s="146">
        <v>5.9000000000000002E-16</v>
      </c>
      <c r="Q260" s="118" t="s">
        <v>1135</v>
      </c>
      <c r="R260" s="1"/>
      <c r="S260" s="1" t="s">
        <v>1049</v>
      </c>
      <c r="T260" s="1"/>
      <c r="U260" s="24" t="s">
        <v>806</v>
      </c>
      <c r="V260" s="116" t="b">
        <f>OR(B260=$V$1,D260=$V$1,B260="2"&amp;$V$1)</f>
        <v>0</v>
      </c>
      <c r="W260" s="1" t="b">
        <f>OR(J260=$W$1,L260=$W$1,N260=$W$1,J260="2"&amp;$W$1,L260="2"&amp;$W$1,N260="2"&amp;$W$1)</f>
        <v>0</v>
      </c>
      <c r="Y260" s="25" t="str">
        <f>B260&amp;" + "&amp;D260&amp;IF(F260&lt;&gt;""," + "&amp;F260,"")&amp;"-&gt;"&amp;J260&amp;" + "&amp;L260&amp;IF(N260&lt;&gt;""," + "&amp;N260,"")</f>
        <v>OH+ + O2-&gt;O2+ + OH</v>
      </c>
      <c r="Z260" s="29">
        <f>O260</f>
        <v>5.9000000000000002E-16</v>
      </c>
    </row>
    <row r="261" spans="1:26" ht="22.5" hidden="1" customHeight="1" x14ac:dyDescent="0.25">
      <c r="A261" s="1" t="s">
        <v>270</v>
      </c>
      <c r="B261" s="1" t="s">
        <v>652</v>
      </c>
      <c r="C261" s="2" t="s">
        <v>0</v>
      </c>
      <c r="D261" s="22" t="s">
        <v>688</v>
      </c>
      <c r="E261" s="2"/>
      <c r="F261" s="22"/>
      <c r="G261" s="4" t="s">
        <v>7</v>
      </c>
      <c r="H261" s="112" t="s">
        <v>1557</v>
      </c>
      <c r="I261" s="4" t="s">
        <v>7</v>
      </c>
      <c r="J261" s="119" t="s">
        <v>1264</v>
      </c>
      <c r="K261" s="2" t="s">
        <v>0</v>
      </c>
      <c r="L261" s="22" t="s">
        <v>654</v>
      </c>
      <c r="M261" s="2"/>
      <c r="N261" s="125"/>
      <c r="O261" s="126">
        <f>5.2*10^-16</f>
        <v>5.1999999999999997E-16</v>
      </c>
      <c r="P261" s="146">
        <v>5.1999999999999997E-16</v>
      </c>
      <c r="Q261" s="118" t="s">
        <v>1156</v>
      </c>
      <c r="R261" s="1"/>
      <c r="S261" s="1" t="s">
        <v>1049</v>
      </c>
      <c r="T261" s="1"/>
      <c r="U261" s="24" t="s">
        <v>806</v>
      </c>
      <c r="V261" s="116" t="b">
        <f>OR(B261=$V$1,D261=$V$1,B261="2"&amp;$V$1)</f>
        <v>0</v>
      </c>
      <c r="W261" s="1" t="b">
        <f>OR(J261=$W$1,L261=$W$1,N261=$W$1,J261="2"&amp;$W$1,L261="2"&amp;$W$1,N261="2"&amp;$W$1)</f>
        <v>0</v>
      </c>
      <c r="Y261" s="25" t="str">
        <f>B261&amp;" + "&amp;D261&amp;IF(F261&lt;&gt;""," + "&amp;F261,"")&amp;"-&gt;"&amp;J261&amp;" + "&amp;L261&amp;IF(N261&lt;&gt;""," + "&amp;N261,"")</f>
        <v>OH+ + NO-&gt;NO+ + OH</v>
      </c>
      <c r="Z261" s="29">
        <f>O261</f>
        <v>5.1999999999999997E-16</v>
      </c>
    </row>
    <row r="262" spans="1:26" ht="22.5" hidden="1" customHeight="1" x14ac:dyDescent="0.25">
      <c r="A262" s="1" t="s">
        <v>271</v>
      </c>
      <c r="B262" s="1" t="s">
        <v>652</v>
      </c>
      <c r="C262" s="2" t="s">
        <v>0</v>
      </c>
      <c r="D262" s="1" t="s">
        <v>739</v>
      </c>
      <c r="E262" s="2"/>
      <c r="F262" s="22"/>
      <c r="G262" s="4" t="s">
        <v>7</v>
      </c>
      <c r="H262" s="112" t="s">
        <v>1557</v>
      </c>
      <c r="I262" s="4" t="s">
        <v>7</v>
      </c>
      <c r="J262" s="119" t="s">
        <v>1264</v>
      </c>
      <c r="K262" s="2" t="s">
        <v>0</v>
      </c>
      <c r="L262" s="1" t="s">
        <v>767</v>
      </c>
      <c r="M262" s="2"/>
      <c r="N262" s="125"/>
      <c r="O262" s="126">
        <f>1.3*10^-15</f>
        <v>1.3000000000000002E-15</v>
      </c>
      <c r="P262" s="146">
        <v>1.3000000000000002E-15</v>
      </c>
      <c r="Q262" s="118" t="s">
        <v>1157</v>
      </c>
      <c r="R262" s="1"/>
      <c r="S262" s="1" t="s">
        <v>1049</v>
      </c>
      <c r="T262" s="1"/>
      <c r="U262" s="24" t="s">
        <v>796</v>
      </c>
      <c r="V262" s="116" t="b">
        <f>OR(B262=$V$1,D262=$V$1,B262="2"&amp;$V$1)</f>
        <v>0</v>
      </c>
      <c r="W262" s="1" t="b">
        <f>OR(J262=$W$1,L262=$W$1,N262=$W$1,J262="2"&amp;$W$1,L262="2"&amp;$W$1,N262="2"&amp;$W$1)</f>
        <v>0</v>
      </c>
      <c r="Y262" s="25" t="str">
        <f>B262&amp;" + "&amp;D262&amp;IF(F262&lt;&gt;""," + "&amp;F262,"")&amp;"-&gt;"&amp;J262&amp;" + "&amp;L262&amp;IF(N262&lt;&gt;""," + "&amp;N262,"")</f>
        <v>OH+ + NO2-&gt;NO+ + HO2</v>
      </c>
      <c r="Z262" s="29">
        <f>O262</f>
        <v>1.3000000000000002E-15</v>
      </c>
    </row>
    <row r="263" spans="1:26" ht="22.5" hidden="1" customHeight="1" x14ac:dyDescent="0.25">
      <c r="A263" s="1" t="s">
        <v>272</v>
      </c>
      <c r="B263" s="1" t="s">
        <v>652</v>
      </c>
      <c r="C263" s="2" t="s">
        <v>0</v>
      </c>
      <c r="D263" s="1" t="s">
        <v>738</v>
      </c>
      <c r="E263" s="2"/>
      <c r="F263" s="22"/>
      <c r="G263" s="4" t="s">
        <v>7</v>
      </c>
      <c r="H263" s="112" t="s">
        <v>1557</v>
      </c>
      <c r="I263" s="4" t="s">
        <v>7</v>
      </c>
      <c r="J263" s="119" t="s">
        <v>1265</v>
      </c>
      <c r="K263" s="2" t="s">
        <v>0</v>
      </c>
      <c r="L263" s="22" t="s">
        <v>654</v>
      </c>
      <c r="M263" s="2"/>
      <c r="N263" s="125"/>
      <c r="O263" s="126">
        <f>2.13*10^-16</f>
        <v>2.1299999999999999E-16</v>
      </c>
      <c r="P263" s="146">
        <v>2.1299999999999999E-16</v>
      </c>
      <c r="Q263" s="118" t="s">
        <v>1158</v>
      </c>
      <c r="R263" s="1"/>
      <c r="S263" s="1" t="s">
        <v>1049</v>
      </c>
      <c r="T263" s="1"/>
      <c r="U263" s="24" t="s">
        <v>796</v>
      </c>
      <c r="V263" s="116" t="b">
        <f>OR(B263=$V$1,D263=$V$1,B263="2"&amp;$V$1)</f>
        <v>0</v>
      </c>
      <c r="W263" s="1" t="b">
        <f>OR(J263=$W$1,L263=$W$1,N263=$W$1,J263="2"&amp;$W$1,L263="2"&amp;$W$1,N263="2"&amp;$W$1)</f>
        <v>0</v>
      </c>
      <c r="Y263" s="25" t="str">
        <f>B263&amp;" + "&amp;D263&amp;IF(F263&lt;&gt;""," + "&amp;F263,"")&amp;"-&gt;"&amp;J263&amp;" + "&amp;L263&amp;IF(N263&lt;&gt;""," + "&amp;N263,"")</f>
        <v>OH+ + N2O-&gt;N2O+ + OH</v>
      </c>
      <c r="Z263" s="29">
        <f>O263</f>
        <v>2.1299999999999999E-16</v>
      </c>
    </row>
    <row r="264" spans="1:26" ht="22.5" hidden="1" customHeight="1" x14ac:dyDescent="0.25">
      <c r="A264" s="1" t="s">
        <v>273</v>
      </c>
      <c r="B264" s="1" t="s">
        <v>652</v>
      </c>
      <c r="C264" s="2" t="s">
        <v>0</v>
      </c>
      <c r="D264" s="3" t="s">
        <v>640</v>
      </c>
      <c r="E264" s="2"/>
      <c r="F264" s="22"/>
      <c r="G264" s="4" t="s">
        <v>7</v>
      </c>
      <c r="H264" s="112" t="s">
        <v>1557</v>
      </c>
      <c r="I264" s="4" t="s">
        <v>7</v>
      </c>
      <c r="J264" s="119" t="s">
        <v>1256</v>
      </c>
      <c r="K264" s="2" t="s">
        <v>0</v>
      </c>
      <c r="L264" s="22" t="s">
        <v>653</v>
      </c>
      <c r="M264" s="2"/>
      <c r="N264" s="125"/>
      <c r="O264" s="126">
        <f>9.7*10^-16</f>
        <v>9.6999999999999998E-16</v>
      </c>
      <c r="P264" s="146">
        <v>9.6999999999999998E-16</v>
      </c>
      <c r="Q264" s="118" t="s">
        <v>1159</v>
      </c>
      <c r="R264" s="1"/>
      <c r="S264" s="1" t="s">
        <v>1049</v>
      </c>
      <c r="T264" s="1"/>
      <c r="U264" s="24" t="s">
        <v>796</v>
      </c>
      <c r="V264" s="116" t="b">
        <f>OR(B264=$V$1,D264=$V$1,B264="2"&amp;$V$1)</f>
        <v>0</v>
      </c>
      <c r="W264" s="1" t="b">
        <f>OR(J264=$W$1,L264=$W$1,N264=$W$1,J264="2"&amp;$W$1,L264="2"&amp;$W$1,N264="2"&amp;$W$1)</f>
        <v>0</v>
      </c>
      <c r="Y264" s="25" t="str">
        <f>B264&amp;" + "&amp;D264&amp;IF(F264&lt;&gt;""," + "&amp;F264,"")&amp;"-&gt;"&amp;J264&amp;" + "&amp;L264&amp;IF(N264&lt;&gt;""," + "&amp;N264,"")</f>
        <v>OH+ + H2-&gt;H2O+ + H</v>
      </c>
      <c r="Z264" s="29">
        <f>O264</f>
        <v>9.6999999999999998E-16</v>
      </c>
    </row>
    <row r="265" spans="1:26" ht="22.5" hidden="1" customHeight="1" x14ac:dyDescent="0.25">
      <c r="A265" s="1" t="s">
        <v>274</v>
      </c>
      <c r="B265" s="1" t="s">
        <v>652</v>
      </c>
      <c r="C265" s="2" t="s">
        <v>0</v>
      </c>
      <c r="D265" s="22" t="s">
        <v>654</v>
      </c>
      <c r="E265" s="2"/>
      <c r="F265" s="22"/>
      <c r="G265" s="4" t="s">
        <v>7</v>
      </c>
      <c r="H265" s="112" t="s">
        <v>1557</v>
      </c>
      <c r="I265" s="4" t="s">
        <v>7</v>
      </c>
      <c r="J265" s="119" t="s">
        <v>1256</v>
      </c>
      <c r="K265" s="2" t="s">
        <v>0</v>
      </c>
      <c r="L265" s="22" t="s">
        <v>639</v>
      </c>
      <c r="M265" s="2"/>
      <c r="N265" s="125"/>
      <c r="O265" s="126">
        <f>7*10^-16</f>
        <v>6.9999999999999994E-16</v>
      </c>
      <c r="P265" s="146">
        <v>6.9999999999999994E-16</v>
      </c>
      <c r="Q265" s="118" t="s">
        <v>1077</v>
      </c>
      <c r="R265" s="1"/>
      <c r="S265" s="1" t="s">
        <v>1049</v>
      </c>
      <c r="T265" s="1"/>
      <c r="U265" s="24" t="s">
        <v>805</v>
      </c>
      <c r="V265" s="116" t="b">
        <f>OR(B265=$V$1,D265=$V$1,B265="2"&amp;$V$1)</f>
        <v>0</v>
      </c>
      <c r="W265" s="1" t="b">
        <f>OR(J265=$W$1,L265=$W$1,N265=$W$1,J265="2"&amp;$W$1,L265="2"&amp;$W$1,N265="2"&amp;$W$1)</f>
        <v>0</v>
      </c>
      <c r="Y265" s="25" t="str">
        <f>B265&amp;" + "&amp;D265&amp;IF(F265&lt;&gt;""," + "&amp;F265,"")&amp;"-&gt;"&amp;J265&amp;" + "&amp;L265&amp;IF(N265&lt;&gt;""," + "&amp;N265,"")</f>
        <v>OH+ + OH-&gt;H2O+ + O</v>
      </c>
      <c r="Z265" s="29">
        <f>O265</f>
        <v>6.9999999999999994E-16</v>
      </c>
    </row>
    <row r="266" spans="1:26" ht="22.5" hidden="1" customHeight="1" x14ac:dyDescent="0.25">
      <c r="A266" s="1" t="s">
        <v>275</v>
      </c>
      <c r="B266" s="1" t="s">
        <v>652</v>
      </c>
      <c r="C266" s="2" t="s">
        <v>0</v>
      </c>
      <c r="D266" s="3" t="s">
        <v>641</v>
      </c>
      <c r="E266" s="2"/>
      <c r="F266" s="22"/>
      <c r="G266" s="4" t="s">
        <v>7</v>
      </c>
      <c r="H266" s="112" t="s">
        <v>1557</v>
      </c>
      <c r="I266" s="4" t="s">
        <v>7</v>
      </c>
      <c r="J266" s="119" t="s">
        <v>1256</v>
      </c>
      <c r="K266" s="2" t="s">
        <v>0</v>
      </c>
      <c r="L266" s="22" t="s">
        <v>654</v>
      </c>
      <c r="M266" s="2"/>
      <c r="N266" s="125"/>
      <c r="O266" s="126">
        <f>1.59*10^-15</f>
        <v>1.5900000000000002E-15</v>
      </c>
      <c r="P266" s="146">
        <v>1.5900000000000002E-15</v>
      </c>
      <c r="Q266" s="118" t="s">
        <v>1160</v>
      </c>
      <c r="R266" s="1"/>
      <c r="S266" s="1" t="s">
        <v>1049</v>
      </c>
      <c r="T266" s="1"/>
      <c r="U266" s="24" t="s">
        <v>806</v>
      </c>
      <c r="V266" s="116" t="b">
        <f>OR(B266=$V$1,D266=$V$1,B266="2"&amp;$V$1)</f>
        <v>0</v>
      </c>
      <c r="W266" s="1" t="b">
        <f>OR(J266=$W$1,L266=$W$1,N266=$W$1,J266="2"&amp;$W$1,L266="2"&amp;$W$1,N266="2"&amp;$W$1)</f>
        <v>0</v>
      </c>
      <c r="Y266" s="25" t="str">
        <f>B266&amp;" + "&amp;D266&amp;IF(F266&lt;&gt;""," + "&amp;F266,"")&amp;"-&gt;"&amp;J266&amp;" + "&amp;L266&amp;IF(N266&lt;&gt;""," + "&amp;N266,"")</f>
        <v>OH+ + H2O-&gt;H2O+ + OH</v>
      </c>
      <c r="Z266" s="29">
        <f>O266</f>
        <v>1.5900000000000002E-15</v>
      </c>
    </row>
    <row r="267" spans="1:26" ht="22.5" hidden="1" customHeight="1" x14ac:dyDescent="0.25">
      <c r="A267" s="1" t="s">
        <v>276</v>
      </c>
      <c r="B267" s="1" t="s">
        <v>652</v>
      </c>
      <c r="C267" s="2" t="s">
        <v>0</v>
      </c>
      <c r="D267" s="3" t="s">
        <v>641</v>
      </c>
      <c r="E267" s="2"/>
      <c r="F267" s="22"/>
      <c r="G267" s="4" t="s">
        <v>7</v>
      </c>
      <c r="H267" s="112" t="s">
        <v>1557</v>
      </c>
      <c r="I267" s="4" t="s">
        <v>7</v>
      </c>
      <c r="J267" s="119" t="s">
        <v>1266</v>
      </c>
      <c r="K267" s="2" t="s">
        <v>0</v>
      </c>
      <c r="L267" s="22" t="s">
        <v>639</v>
      </c>
      <c r="M267" s="2"/>
      <c r="N267" s="125"/>
      <c r="O267" s="126">
        <f>1.3*10^-15</f>
        <v>1.3000000000000002E-15</v>
      </c>
      <c r="P267" s="146">
        <v>1.3000000000000002E-15</v>
      </c>
      <c r="Q267" s="118" t="s">
        <v>1157</v>
      </c>
      <c r="R267" s="1"/>
      <c r="S267" s="1" t="s">
        <v>1049</v>
      </c>
      <c r="T267" s="1"/>
      <c r="U267" s="24" t="s">
        <v>806</v>
      </c>
      <c r="V267" s="116" t="b">
        <f>OR(B267=$V$1,D267=$V$1,B267="2"&amp;$V$1)</f>
        <v>0</v>
      </c>
      <c r="W267" s="1" t="b">
        <f>OR(J267=$W$1,L267=$W$1,N267=$W$1,J267="2"&amp;$W$1,L267="2"&amp;$W$1,N267="2"&amp;$W$1)</f>
        <v>0</v>
      </c>
      <c r="Y267" s="25" t="str">
        <f>B267&amp;" + "&amp;D267&amp;IF(F267&lt;&gt;""," + "&amp;F267,"")&amp;"-&gt;"&amp;J267&amp;" + "&amp;L267&amp;IF(N267&lt;&gt;""," + "&amp;N267,"")</f>
        <v>OH+ + H2O-&gt;H3O+ + O</v>
      </c>
      <c r="Z267" s="29">
        <f>O267</f>
        <v>1.3000000000000002E-15</v>
      </c>
    </row>
    <row r="268" spans="1:26" ht="22.5" hidden="1" customHeight="1" x14ac:dyDescent="0.25">
      <c r="A268" s="1" t="s">
        <v>277</v>
      </c>
      <c r="B268" s="1" t="s">
        <v>1321</v>
      </c>
      <c r="C268" s="2" t="s">
        <v>0</v>
      </c>
      <c r="D268" s="1" t="s">
        <v>723</v>
      </c>
      <c r="E268" s="2"/>
      <c r="F268" s="22"/>
      <c r="G268" s="4" t="s">
        <v>7</v>
      </c>
      <c r="H268" s="112" t="s">
        <v>1557</v>
      </c>
      <c r="I268" s="4" t="s">
        <v>7</v>
      </c>
      <c r="J268" s="124" t="s">
        <v>1394</v>
      </c>
      <c r="K268" s="2" t="s">
        <v>0</v>
      </c>
      <c r="L268" s="22" t="s">
        <v>654</v>
      </c>
      <c r="M268" s="2"/>
      <c r="N268" s="125"/>
      <c r="O268" s="126">
        <f>9*10^-16</f>
        <v>9.0000000000000003E-16</v>
      </c>
      <c r="P268" s="146">
        <v>9.0000000000000003E-16</v>
      </c>
      <c r="Q268" s="118" t="s">
        <v>1161</v>
      </c>
      <c r="R268" s="1"/>
      <c r="S268" s="1" t="s">
        <v>1049</v>
      </c>
      <c r="T268" s="1"/>
      <c r="U268" s="24" t="s">
        <v>777</v>
      </c>
      <c r="V268" s="116" t="b">
        <f>OR(B268=$V$1,D268=$V$1,B268="2"&amp;$V$1)</f>
        <v>0</v>
      </c>
      <c r="W268" s="1" t="b">
        <f>OR(J268=$W$1,L268=$W$1,N268=$W$1,J268="2"&amp;$W$1,L268="2"&amp;$W$1,N268="2"&amp;$W$1)</f>
        <v>0</v>
      </c>
      <c r="Y268" s="25" t="str">
        <f>B268&amp;" + "&amp;D268&amp;IF(F268&lt;&gt;""," + "&amp;F268,"")&amp;"-&gt;"&amp;J268&amp;" + "&amp;L268&amp;IF(N268&lt;&gt;""," + "&amp;N268,"")</f>
        <v>OH- + O3-&gt;O3- + OH</v>
      </c>
      <c r="Z268" s="29">
        <f>O268</f>
        <v>9.0000000000000003E-16</v>
      </c>
    </row>
    <row r="269" spans="1:26" ht="22.5" hidden="1" customHeight="1" x14ac:dyDescent="0.25">
      <c r="A269" s="1"/>
      <c r="B269" s="1" t="s">
        <v>1321</v>
      </c>
      <c r="C269" s="2" t="s">
        <v>0</v>
      </c>
      <c r="D269" s="1" t="s">
        <v>1</v>
      </c>
      <c r="E269" s="2"/>
      <c r="F269" s="22"/>
      <c r="G269" s="4" t="s">
        <v>7</v>
      </c>
      <c r="H269" s="112" t="s">
        <v>1562</v>
      </c>
      <c r="I269" s="4" t="s">
        <v>7</v>
      </c>
      <c r="J269" s="122" t="s">
        <v>654</v>
      </c>
      <c r="K269" s="2" t="s">
        <v>0</v>
      </c>
      <c r="L269" s="22" t="s">
        <v>1053</v>
      </c>
      <c r="M269" s="2"/>
      <c r="N269" s="125"/>
      <c r="O269" s="126">
        <f>9.67*10^-12*Ee^-1.9*EXP(-12.1/Ee)</f>
        <v>1.1210375066446791E-14</v>
      </c>
      <c r="P269" s="146">
        <v>1.1210375066446791E-14</v>
      </c>
      <c r="Q269" s="118" t="s">
        <v>1563</v>
      </c>
      <c r="R269" s="1"/>
      <c r="S269" s="1" t="s">
        <v>1564</v>
      </c>
      <c r="T269" s="1"/>
      <c r="U269" s="24"/>
      <c r="V269" s="116" t="b">
        <f>OR(B269=$V$1,D269=$V$1,B269="2"&amp;$V$1)</f>
        <v>0</v>
      </c>
      <c r="W269" s="1" t="b">
        <f>OR(J269=$W$1,L269=$W$1,N269=$W$1,J269="2"&amp;$W$1,L269="2"&amp;$W$1,N269="2"&amp;$W$1)</f>
        <v>0</v>
      </c>
      <c r="Y269" s="25" t="str">
        <f>B269&amp;" + "&amp;D269&amp;IF(F269&lt;&gt;""," + "&amp;F269,"")&amp;"-&gt;"&amp;J269&amp;" + "&amp;L269&amp;IF(N269&lt;&gt;""," + "&amp;N269,"")</f>
        <v>OH- + e-&gt;OH + 2e</v>
      </c>
      <c r="Z269" s="29">
        <f>O269</f>
        <v>1.1210375066446791E-14</v>
      </c>
    </row>
    <row r="270" spans="1:26" ht="22.5" hidden="1" customHeight="1" x14ac:dyDescent="0.25">
      <c r="A270" s="1" t="s">
        <v>278</v>
      </c>
      <c r="B270" s="1" t="s">
        <v>1321</v>
      </c>
      <c r="C270" s="2" t="s">
        <v>0</v>
      </c>
      <c r="D270" s="1" t="s">
        <v>739</v>
      </c>
      <c r="E270" s="2"/>
      <c r="F270" s="22"/>
      <c r="G270" s="4" t="s">
        <v>7</v>
      </c>
      <c r="H270" s="112" t="s">
        <v>1557</v>
      </c>
      <c r="I270" s="4" t="s">
        <v>7</v>
      </c>
      <c r="J270" s="124" t="s">
        <v>1392</v>
      </c>
      <c r="K270" s="2" t="s">
        <v>0</v>
      </c>
      <c r="L270" s="22" t="s">
        <v>654</v>
      </c>
      <c r="M270" s="2"/>
      <c r="N270" s="125"/>
      <c r="O270" s="126">
        <f>1.9*10^-15</f>
        <v>1.9000000000000001E-15</v>
      </c>
      <c r="P270" s="146">
        <v>1.9000000000000001E-15</v>
      </c>
      <c r="Q270" s="118" t="s">
        <v>1074</v>
      </c>
      <c r="R270" s="1"/>
      <c r="S270" s="1" t="s">
        <v>1049</v>
      </c>
      <c r="T270" s="1"/>
      <c r="U270" s="24" t="s">
        <v>691</v>
      </c>
      <c r="V270" s="116" t="b">
        <f>OR(B270=$V$1,D270=$V$1,B270="2"&amp;$V$1)</f>
        <v>0</v>
      </c>
      <c r="W270" s="1" t="b">
        <f>OR(J270=$W$1,L270=$W$1,N270=$W$1,J270="2"&amp;$W$1,L270="2"&amp;$W$1,N270="2"&amp;$W$1)</f>
        <v>0</v>
      </c>
      <c r="X270" s="25" t="s">
        <v>1607</v>
      </c>
      <c r="Y270" s="25" t="str">
        <f>B270&amp;" + "&amp;D270&amp;IF(F270&lt;&gt;""," + "&amp;F270,"")&amp;"-&gt;"&amp;J270&amp;" + "&amp;L270&amp;IF(N270&lt;&gt;""," + "&amp;N270,"")</f>
        <v>OH- + NO2-&gt;NO2- + OH</v>
      </c>
      <c r="Z270" s="29">
        <f>O270</f>
        <v>1.9000000000000001E-15</v>
      </c>
    </row>
    <row r="271" spans="1:26" ht="22.5" hidden="1" customHeight="1" x14ac:dyDescent="0.25">
      <c r="A271" s="1" t="s">
        <v>279</v>
      </c>
      <c r="B271" s="1" t="s">
        <v>696</v>
      </c>
      <c r="C271" s="2" t="s">
        <v>0</v>
      </c>
      <c r="D271" s="22" t="s">
        <v>636</v>
      </c>
      <c r="E271" s="2"/>
      <c r="F271" s="22"/>
      <c r="G271" s="4" t="s">
        <v>7</v>
      </c>
      <c r="H271" s="112" t="s">
        <v>1557</v>
      </c>
      <c r="I271" s="4" t="s">
        <v>7</v>
      </c>
      <c r="J271" s="119" t="s">
        <v>1264</v>
      </c>
      <c r="K271" s="2" t="s">
        <v>0</v>
      </c>
      <c r="L271" s="1" t="s">
        <v>699</v>
      </c>
      <c r="M271" s="2"/>
      <c r="N271" s="125"/>
      <c r="O271" s="126">
        <f>1.9*10^-16</f>
        <v>1.8999999999999998E-16</v>
      </c>
      <c r="P271" s="146">
        <v>1.8999999999999998E-16</v>
      </c>
      <c r="Q271" s="118" t="s">
        <v>1162</v>
      </c>
      <c r="R271" s="1"/>
      <c r="S271" s="1" t="s">
        <v>1049</v>
      </c>
      <c r="T271" s="1"/>
      <c r="U271" s="24" t="s">
        <v>796</v>
      </c>
      <c r="V271" s="116" t="b">
        <f>OR(B271=$V$1,D271=$V$1,B271="2"&amp;$V$1)</f>
        <v>0</v>
      </c>
      <c r="W271" s="1" t="b">
        <f>OR(J271=$W$1,L271=$W$1,N271=$W$1,J271="2"&amp;$W$1,L271="2"&amp;$W$1,N271="2"&amp;$W$1)</f>
        <v>0</v>
      </c>
      <c r="Y271" s="25" t="str">
        <f>B271&amp;" + "&amp;D271&amp;IF(F271&lt;&gt;""," + "&amp;F271,"")&amp;"-&gt;"&amp;J271&amp;" + "&amp;L271&amp;IF(N271&lt;&gt;""," + "&amp;N271,"")</f>
        <v>H2O+ + N-&gt;NO+ + H2</v>
      </c>
      <c r="Z271" s="29">
        <f>O271</f>
        <v>1.8999999999999998E-16</v>
      </c>
    </row>
    <row r="272" spans="1:26" ht="22.5" customHeight="1" x14ac:dyDescent="0.25">
      <c r="A272" s="1" t="s">
        <v>547</v>
      </c>
      <c r="B272" s="1" t="s">
        <v>1482</v>
      </c>
      <c r="C272" s="2" t="s">
        <v>0</v>
      </c>
      <c r="D272" s="22" t="s">
        <v>639</v>
      </c>
      <c r="E272" s="2"/>
      <c r="F272" s="3"/>
      <c r="G272" s="4" t="s">
        <v>7</v>
      </c>
      <c r="H272" s="112" t="s">
        <v>1559</v>
      </c>
      <c r="I272" s="4" t="s">
        <v>7</v>
      </c>
      <c r="J272" s="124" t="s">
        <v>1255</v>
      </c>
      <c r="K272" s="2" t="s">
        <v>0</v>
      </c>
      <c r="L272" s="22" t="s">
        <v>689</v>
      </c>
      <c r="M272" s="2"/>
      <c r="N272" s="125"/>
      <c r="O272" s="126">
        <f>2.3*10^-17</f>
        <v>2.3000000000000001E-17</v>
      </c>
      <c r="P272" s="146">
        <v>2.3000000000000001E-17</v>
      </c>
      <c r="Q272" s="118" t="s">
        <v>1083</v>
      </c>
      <c r="R272" s="1"/>
      <c r="S272" s="1" t="s">
        <v>1049</v>
      </c>
      <c r="T272" s="1"/>
      <c r="U272" s="24" t="s">
        <v>756</v>
      </c>
      <c r="V272" s="116" t="b">
        <f>OR(B272=$V$1,D272=$V$1,B272="2"&amp;$V$1)</f>
        <v>0</v>
      </c>
      <c r="W272" s="1" t="b">
        <f>OR(J272=$W$1,L272=$W$1,N272=$W$1,J272="2"&amp;$W$1,L272="2"&amp;$W$1,N272="2"&amp;$W$1)</f>
        <v>0</v>
      </c>
      <c r="X272" s="25" t="s">
        <v>1607</v>
      </c>
      <c r="Y272" s="25" t="str">
        <f>B272&amp;" + "&amp;D272&amp;IF(F272&lt;&gt;""," + "&amp;F272,"")&amp;"-&gt;"&amp;J272&amp;" + "&amp;L272&amp;IF(N272&lt;&gt;""," + "&amp;N272,"")</f>
        <v>N2(A3) + O-&gt;O(1D) + N2</v>
      </c>
      <c r="Z272" s="29">
        <f>O272</f>
        <v>2.3000000000000001E-17</v>
      </c>
    </row>
    <row r="273" spans="1:26" ht="22.5" hidden="1" customHeight="1" x14ac:dyDescent="0.25">
      <c r="A273" s="1"/>
      <c r="B273" s="1" t="s">
        <v>696</v>
      </c>
      <c r="C273" s="2" t="s">
        <v>0</v>
      </c>
      <c r="D273" s="22" t="s">
        <v>654</v>
      </c>
      <c r="E273" s="2"/>
      <c r="F273" s="22"/>
      <c r="G273" s="4" t="s">
        <v>7</v>
      </c>
      <c r="H273" s="112" t="s">
        <v>1557</v>
      </c>
      <c r="I273" s="4" t="s">
        <v>7</v>
      </c>
      <c r="J273" s="119" t="s">
        <v>819</v>
      </c>
      <c r="K273" s="2" t="s">
        <v>0</v>
      </c>
      <c r="L273" s="1" t="s">
        <v>639</v>
      </c>
      <c r="M273" s="2"/>
      <c r="N273" s="125"/>
      <c r="O273" s="126">
        <f>6.9*10^-16</f>
        <v>6.9000000000000007E-16</v>
      </c>
      <c r="P273" s="146"/>
      <c r="Q273" s="118" t="s">
        <v>1663</v>
      </c>
      <c r="R273" s="1"/>
      <c r="S273" s="1"/>
      <c r="T273" s="1"/>
      <c r="U273" s="24" t="s">
        <v>756</v>
      </c>
      <c r="V273" s="116" t="b">
        <f>OR(B273=$V$1,D273=$V$1,B273="2"&amp;$V$1)</f>
        <v>0</v>
      </c>
      <c r="W273" s="1" t="b">
        <f>OR(J273=$W$1,L273=$W$1,N273=$W$1,J273="2"&amp;$W$1,L273="2"&amp;$W$1,N273="2"&amp;$W$1)</f>
        <v>0</v>
      </c>
      <c r="X273" s="25" t="s">
        <v>1607</v>
      </c>
      <c r="Y273" s="25" t="str">
        <f>B273&amp;" + "&amp;D273&amp;IF(F273&lt;&gt;""," + "&amp;F273,"")&amp;"-&gt;"&amp;J273&amp;" + "&amp;L273&amp;IF(N273&lt;&gt;""," + "&amp;N273,"")</f>
        <v>H2O+ + OH-&gt;H3O+ + O</v>
      </c>
      <c r="Z273" s="29">
        <f>O273</f>
        <v>6.9000000000000007E-16</v>
      </c>
    </row>
    <row r="274" spans="1:26" ht="22.5" hidden="1" customHeight="1" x14ac:dyDescent="0.25">
      <c r="A274" s="1" t="s">
        <v>281</v>
      </c>
      <c r="B274" s="1" t="s">
        <v>696</v>
      </c>
      <c r="C274" s="2" t="s">
        <v>0</v>
      </c>
      <c r="D274" s="1" t="s">
        <v>649</v>
      </c>
      <c r="E274" s="2"/>
      <c r="F274" s="22"/>
      <c r="G274" s="4" t="s">
        <v>7</v>
      </c>
      <c r="H274" s="112" t="s">
        <v>1557</v>
      </c>
      <c r="I274" s="4" t="s">
        <v>7</v>
      </c>
      <c r="J274" s="122" t="s">
        <v>1402</v>
      </c>
      <c r="K274" s="2" t="s">
        <v>0</v>
      </c>
      <c r="L274" s="1" t="s">
        <v>812</v>
      </c>
      <c r="M274" s="2"/>
      <c r="N274" s="125"/>
      <c r="O274" s="126">
        <f>4.3*10^-16</f>
        <v>4.2999999999999999E-16</v>
      </c>
      <c r="P274" s="146">
        <v>4.2999999999999999E-16</v>
      </c>
      <c r="Q274" s="118" t="s">
        <v>1164</v>
      </c>
      <c r="R274" s="1"/>
      <c r="S274" s="1" t="s">
        <v>1049</v>
      </c>
      <c r="T274" s="1"/>
      <c r="U274" s="24" t="s">
        <v>691</v>
      </c>
      <c r="V274" s="116" t="b">
        <f>OR(B274=$V$1,D274=$V$1,B274="2"&amp;$V$1)</f>
        <v>0</v>
      </c>
      <c r="W274" s="1" t="b">
        <f>OR(J274=$W$1,L274=$W$1,N274=$W$1,J274="2"&amp;$W$1,L274="2"&amp;$W$1,N274="2"&amp;$W$1)</f>
        <v>0</v>
      </c>
      <c r="X274" s="25" t="s">
        <v>1607</v>
      </c>
      <c r="Y274" s="25" t="str">
        <f>B274&amp;" + "&amp;D274&amp;IF(F274&lt;&gt;""," + "&amp;F274,"")&amp;"-&gt;"&amp;J274&amp;" + "&amp;L274&amp;IF(N274&lt;&gt;""," + "&amp;N274,"")</f>
        <v>H2O+ + O2-&gt;O2+ + H2O</v>
      </c>
      <c r="Z274" s="29">
        <f>O274</f>
        <v>4.2999999999999999E-16</v>
      </c>
    </row>
    <row r="275" spans="1:26" ht="22.5" hidden="1" customHeight="1" x14ac:dyDescent="0.25">
      <c r="A275" s="1" t="s">
        <v>282</v>
      </c>
      <c r="B275" s="1" t="s">
        <v>696</v>
      </c>
      <c r="C275" s="2" t="s">
        <v>0</v>
      </c>
      <c r="D275" s="22" t="s">
        <v>688</v>
      </c>
      <c r="E275" s="2"/>
      <c r="F275" s="22"/>
      <c r="G275" s="4" t="s">
        <v>7</v>
      </c>
      <c r="H275" s="112" t="s">
        <v>1557</v>
      </c>
      <c r="I275" s="4" t="s">
        <v>7</v>
      </c>
      <c r="J275" s="119" t="s">
        <v>1264</v>
      </c>
      <c r="K275" s="2" t="s">
        <v>0</v>
      </c>
      <c r="L275" s="1" t="s">
        <v>812</v>
      </c>
      <c r="M275" s="2"/>
      <c r="N275" s="125"/>
      <c r="O275" s="126">
        <f>6*10^-16</f>
        <v>5.9999999999999999E-16</v>
      </c>
      <c r="P275" s="146">
        <v>4.5999999999999998E-16</v>
      </c>
      <c r="Q275" s="118" t="s">
        <v>1661</v>
      </c>
      <c r="R275" s="1"/>
      <c r="S275" s="1" t="s">
        <v>1049</v>
      </c>
      <c r="T275" s="1"/>
      <c r="U275" s="24" t="s">
        <v>756</v>
      </c>
      <c r="V275" s="116" t="b">
        <f>OR(B275=$V$1,D275=$V$1,B275="2"&amp;$V$1)</f>
        <v>0</v>
      </c>
      <c r="W275" s="1" t="b">
        <f>OR(J275=$W$1,L275=$W$1,N275=$W$1,J275="2"&amp;$W$1,L275="2"&amp;$W$1,N275="2"&amp;$W$1)</f>
        <v>0</v>
      </c>
      <c r="X275" s="25" t="s">
        <v>1607</v>
      </c>
      <c r="Y275" s="25" t="str">
        <f>B275&amp;" + "&amp;D275&amp;IF(F275&lt;&gt;""," + "&amp;F275,"")&amp;"-&gt;"&amp;J275&amp;" + "&amp;L275&amp;IF(N275&lt;&gt;""," + "&amp;N275,"")</f>
        <v>H2O+ + NO-&gt;NO+ + H2O</v>
      </c>
      <c r="Z275" s="29">
        <f>O275</f>
        <v>5.9999999999999999E-16</v>
      </c>
    </row>
    <row r="276" spans="1:26" ht="22.5" hidden="1" customHeight="1" x14ac:dyDescent="0.25">
      <c r="A276" s="1" t="s">
        <v>283</v>
      </c>
      <c r="B276" s="1" t="s">
        <v>696</v>
      </c>
      <c r="C276" s="2" t="s">
        <v>0</v>
      </c>
      <c r="D276" s="1" t="s">
        <v>739</v>
      </c>
      <c r="E276" s="2"/>
      <c r="F276" s="22"/>
      <c r="G276" s="4" t="s">
        <v>7</v>
      </c>
      <c r="H276" s="112" t="s">
        <v>1557</v>
      </c>
      <c r="I276" s="4" t="s">
        <v>7</v>
      </c>
      <c r="J276" s="121" t="s">
        <v>1406</v>
      </c>
      <c r="K276" s="2" t="s">
        <v>0</v>
      </c>
      <c r="L276" s="1" t="s">
        <v>812</v>
      </c>
      <c r="M276" s="2"/>
      <c r="N276" s="125"/>
      <c r="O276" s="126">
        <f>1.2*10^-15</f>
        <v>1.2E-15</v>
      </c>
      <c r="P276" s="146">
        <v>1.2E-15</v>
      </c>
      <c r="Q276" s="118" t="s">
        <v>1088</v>
      </c>
      <c r="R276" s="1"/>
      <c r="S276" s="1" t="s">
        <v>1049</v>
      </c>
      <c r="T276" s="1"/>
      <c r="U276" s="24" t="s">
        <v>796</v>
      </c>
      <c r="V276" s="116" t="b">
        <f>OR(B276=$V$1,D276=$V$1,B276="2"&amp;$V$1)</f>
        <v>0</v>
      </c>
      <c r="W276" s="1" t="b">
        <f>OR(J276=$W$1,L276=$W$1,N276=$W$1,J276="2"&amp;$W$1,L276="2"&amp;$W$1,N276="2"&amp;$W$1)</f>
        <v>0</v>
      </c>
      <c r="Y276" s="25" t="str">
        <f>B276&amp;" + "&amp;D276&amp;IF(F276&lt;&gt;""," + "&amp;F276,"")&amp;"-&gt;"&amp;J276&amp;" + "&amp;L276&amp;IF(N276&lt;&gt;""," + "&amp;N276,"")</f>
        <v>H2O+ + NO2-&gt;NO2+ + H2O</v>
      </c>
      <c r="Z276" s="29">
        <f>O276</f>
        <v>1.2E-15</v>
      </c>
    </row>
    <row r="277" spans="1:26" ht="22.5" hidden="1" customHeight="1" x14ac:dyDescent="0.25">
      <c r="A277" s="1" t="s">
        <v>284</v>
      </c>
      <c r="B277" s="1" t="s">
        <v>696</v>
      </c>
      <c r="C277" s="2" t="s">
        <v>0</v>
      </c>
      <c r="D277" s="3" t="s">
        <v>640</v>
      </c>
      <c r="E277" s="2"/>
      <c r="F277" s="22"/>
      <c r="G277" s="4" t="s">
        <v>7</v>
      </c>
      <c r="H277" s="112" t="s">
        <v>1557</v>
      </c>
      <c r="I277" s="4" t="s">
        <v>7</v>
      </c>
      <c r="J277" s="119" t="s">
        <v>1266</v>
      </c>
      <c r="K277" s="2" t="s">
        <v>0</v>
      </c>
      <c r="L277" s="22" t="s">
        <v>653</v>
      </c>
      <c r="M277" s="2"/>
      <c r="N277" s="125"/>
      <c r="O277" s="126">
        <f>8.7*10^-16</f>
        <v>8.6999999999999994E-16</v>
      </c>
      <c r="P277" s="146">
        <v>7.5999999999999992E-16</v>
      </c>
      <c r="Q277" s="118" t="s">
        <v>1662</v>
      </c>
      <c r="R277" s="1"/>
      <c r="S277" s="1" t="s">
        <v>1049</v>
      </c>
      <c r="T277" s="1"/>
      <c r="U277" s="24" t="s">
        <v>756</v>
      </c>
      <c r="V277" s="116" t="b">
        <f>OR(B277=$V$1,D277=$V$1,B277="2"&amp;$V$1)</f>
        <v>0</v>
      </c>
      <c r="W277" s="1" t="b">
        <f>OR(J277=$W$1,L277=$W$1,N277=$W$1,J277="2"&amp;$W$1,L277="2"&amp;$W$1,N277="2"&amp;$W$1)</f>
        <v>0</v>
      </c>
      <c r="X277" s="25" t="s">
        <v>1607</v>
      </c>
      <c r="Y277" s="25" t="str">
        <f>B277&amp;" + "&amp;D277&amp;IF(F277&lt;&gt;""," + "&amp;F277,"")&amp;"-&gt;"&amp;J277&amp;" + "&amp;L277&amp;IF(N277&lt;&gt;""," + "&amp;N277,"")</f>
        <v>H2O+ + H2-&gt;H3O+ + H</v>
      </c>
      <c r="Z277" s="29">
        <f>O277</f>
        <v>8.6999999999999994E-16</v>
      </c>
    </row>
    <row r="278" spans="1:26" ht="22.5" hidden="1" customHeight="1" x14ac:dyDescent="0.25">
      <c r="A278" s="1" t="s">
        <v>285</v>
      </c>
      <c r="B278" s="1" t="s">
        <v>696</v>
      </c>
      <c r="C278" s="2" t="s">
        <v>0</v>
      </c>
      <c r="D278" s="3" t="s">
        <v>641</v>
      </c>
      <c r="E278" s="2"/>
      <c r="F278" s="22"/>
      <c r="G278" s="4" t="s">
        <v>7</v>
      </c>
      <c r="H278" s="112" t="s">
        <v>1557</v>
      </c>
      <c r="I278" s="4" t="s">
        <v>7</v>
      </c>
      <c r="J278" s="119" t="s">
        <v>1266</v>
      </c>
      <c r="K278" s="2" t="s">
        <v>0</v>
      </c>
      <c r="L278" s="22" t="s">
        <v>654</v>
      </c>
      <c r="M278" s="2"/>
      <c r="N278" s="125"/>
      <c r="O278" s="126">
        <f>1.7*10^-15</f>
        <v>1.7E-15</v>
      </c>
      <c r="P278" s="146">
        <v>1.7E-15</v>
      </c>
      <c r="Q278" s="118" t="s">
        <v>1115</v>
      </c>
      <c r="R278" s="1"/>
      <c r="S278" s="1" t="s">
        <v>1049</v>
      </c>
      <c r="T278" s="1"/>
      <c r="U278" s="24" t="s">
        <v>691</v>
      </c>
      <c r="V278" s="116" t="b">
        <f>OR(B278=$V$1,D278=$V$1,B278="2"&amp;$V$1)</f>
        <v>0</v>
      </c>
      <c r="W278" s="1" t="b">
        <f>OR(J278=$W$1,L278=$W$1,N278=$W$1,J278="2"&amp;$W$1,L278="2"&amp;$W$1,N278="2"&amp;$W$1)</f>
        <v>0</v>
      </c>
      <c r="X278" s="25" t="s">
        <v>1607</v>
      </c>
      <c r="Y278" s="25" t="str">
        <f>B278&amp;" + "&amp;D278&amp;IF(F278&lt;&gt;""," + "&amp;F278,"")&amp;"-&gt;"&amp;J278&amp;" + "&amp;L278&amp;IF(N278&lt;&gt;""," + "&amp;N278,"")</f>
        <v>H2O+ + H2O-&gt;H3O+ + OH</v>
      </c>
      <c r="Z278" s="29">
        <f>O278</f>
        <v>1.7E-15</v>
      </c>
    </row>
    <row r="279" spans="1:26" ht="22.5" hidden="1" customHeight="1" x14ac:dyDescent="0.25">
      <c r="A279" s="1" t="s">
        <v>286</v>
      </c>
      <c r="B279" s="1" t="s">
        <v>697</v>
      </c>
      <c r="C279" s="2" t="s">
        <v>0</v>
      </c>
      <c r="D279" s="22" t="s">
        <v>688</v>
      </c>
      <c r="E279" s="2"/>
      <c r="F279" s="22"/>
      <c r="G279" s="4" t="s">
        <v>7</v>
      </c>
      <c r="H279" s="112" t="s">
        <v>1557</v>
      </c>
      <c r="I279" s="4" t="s">
        <v>7</v>
      </c>
      <c r="J279" s="119" t="s">
        <v>1264</v>
      </c>
      <c r="K279" s="2" t="s">
        <v>0</v>
      </c>
      <c r="L279" s="22" t="s">
        <v>653</v>
      </c>
      <c r="M279" s="2" t="s">
        <v>0</v>
      </c>
      <c r="N279" s="128" t="s">
        <v>812</v>
      </c>
      <c r="O279" s="123">
        <f>1.5*10^-18</f>
        <v>1.5000000000000001E-18</v>
      </c>
      <c r="P279" s="145">
        <v>1.5000000000000001E-18</v>
      </c>
      <c r="Q279" s="118" t="s">
        <v>1165</v>
      </c>
      <c r="R279" s="1"/>
      <c r="S279" s="1" t="s">
        <v>1049</v>
      </c>
      <c r="T279" s="1"/>
      <c r="U279" s="24" t="s">
        <v>806</v>
      </c>
      <c r="V279" s="116" t="b">
        <f>OR(B279=$V$1,D279=$V$1,B279="2"&amp;$V$1)</f>
        <v>0</v>
      </c>
      <c r="W279" s="1" t="b">
        <f>OR(J279=$W$1,L279=$W$1,N279=$W$1,J279="2"&amp;$W$1,L279="2"&amp;$W$1,N279="2"&amp;$W$1)</f>
        <v>0</v>
      </c>
      <c r="Y279" s="25" t="str">
        <f>B279&amp;" + "&amp;D279&amp;IF(F279&lt;&gt;""," + "&amp;F279,"")&amp;"-&gt;"&amp;J279&amp;" + "&amp;L279&amp;IF(N279&lt;&gt;""," + "&amp;N279,"")</f>
        <v>H3O+ + NO-&gt;NO+ + H + H2O</v>
      </c>
      <c r="Z279" s="29">
        <f>O279</f>
        <v>1.5000000000000001E-18</v>
      </c>
    </row>
    <row r="280" spans="1:26" ht="22.5" hidden="1" customHeight="1" x14ac:dyDescent="0.25">
      <c r="A280" s="1" t="s">
        <v>287</v>
      </c>
      <c r="B280" s="1" t="s">
        <v>697</v>
      </c>
      <c r="C280" s="2" t="s">
        <v>0</v>
      </c>
      <c r="D280" s="1" t="s">
        <v>674</v>
      </c>
      <c r="E280" s="2"/>
      <c r="F280" s="22"/>
      <c r="G280" s="4" t="s">
        <v>7</v>
      </c>
      <c r="H280" s="112" t="s">
        <v>1557</v>
      </c>
      <c r="I280" s="4" t="s">
        <v>7</v>
      </c>
      <c r="J280" s="121" t="s">
        <v>1406</v>
      </c>
      <c r="K280" s="2" t="s">
        <v>0</v>
      </c>
      <c r="L280" s="22" t="s">
        <v>816</v>
      </c>
      <c r="M280" s="2" t="s">
        <v>0</v>
      </c>
      <c r="N280" s="128" t="s">
        <v>812</v>
      </c>
      <c r="O280" s="123">
        <f>5.5*10^-16</f>
        <v>5.4999999999999996E-16</v>
      </c>
      <c r="P280" s="145">
        <v>5.4999999999999996E-16</v>
      </c>
      <c r="Q280" s="118" t="s">
        <v>1091</v>
      </c>
      <c r="R280" s="1"/>
      <c r="S280" s="1" t="s">
        <v>1049</v>
      </c>
      <c r="T280" s="1"/>
      <c r="U280" s="24" t="s">
        <v>756</v>
      </c>
      <c r="V280" s="116" t="b">
        <f>OR(B280=$V$1,D280=$V$1,B280="2"&amp;$V$1)</f>
        <v>0</v>
      </c>
      <c r="W280" s="1" t="b">
        <f>OR(J280=$W$1,L280=$W$1,N280=$W$1,J280="2"&amp;$W$1,L280="2"&amp;$W$1,N280="2"&amp;$W$1)</f>
        <v>0</v>
      </c>
      <c r="X280" s="25" t="s">
        <v>1607</v>
      </c>
      <c r="Y280" s="25" t="str">
        <f>B280&amp;" + "&amp;D280&amp;IF(F280&lt;&gt;""," + "&amp;F280,"")&amp;"-&gt;"&amp;J280&amp;" + "&amp;L280&amp;IF(N280&lt;&gt;""," + "&amp;N280,"")</f>
        <v>H3O+ + N2O5-&gt;NO2+ + HNO3 + H2O</v>
      </c>
      <c r="Z280" s="29">
        <f>O280</f>
        <v>5.4999999999999996E-16</v>
      </c>
    </row>
    <row r="281" spans="1:26" ht="22.5" hidden="1" customHeight="1" x14ac:dyDescent="0.25">
      <c r="A281" s="1" t="s">
        <v>288</v>
      </c>
      <c r="B281" s="1" t="s">
        <v>678</v>
      </c>
      <c r="C281" s="2" t="s">
        <v>0</v>
      </c>
      <c r="D281" s="1" t="s">
        <v>1328</v>
      </c>
      <c r="E281" s="2"/>
      <c r="F281" s="22"/>
      <c r="G281" s="4" t="s">
        <v>7</v>
      </c>
      <c r="H281" s="112" t="s">
        <v>1558</v>
      </c>
      <c r="I281" s="4" t="s">
        <v>7</v>
      </c>
      <c r="J281" s="119" t="s">
        <v>1411</v>
      </c>
      <c r="K281" s="2"/>
      <c r="L281" s="22"/>
      <c r="M281" s="2"/>
      <c r="N281" s="125"/>
      <c r="O281" s="126">
        <f>2*10^-13*(300/Tg)^0.5</f>
        <v>1.9900743804199784E-13</v>
      </c>
      <c r="P281" s="146">
        <v>1.9900743804199784E-13</v>
      </c>
      <c r="Q281" s="118" t="s">
        <v>1657</v>
      </c>
      <c r="R281" s="1"/>
      <c r="S281" s="1" t="s">
        <v>1049</v>
      </c>
      <c r="T281" s="1"/>
      <c r="U281" s="24" t="s">
        <v>691</v>
      </c>
      <c r="V281" s="116" t="b">
        <f>OR(B281=$V$1,D281=$V$1,B281="2"&amp;$V$1)</f>
        <v>0</v>
      </c>
      <c r="W281" s="1" t="b">
        <f>OR(J281=$W$1,L281=$W$1,N281=$W$1,J281="2"&amp;$W$1,L281="2"&amp;$W$1,N281="2"&amp;$W$1)</f>
        <v>0</v>
      </c>
      <c r="X281" s="25" t="s">
        <v>1607</v>
      </c>
      <c r="Y281" s="25" t="str">
        <f>B281&amp;" + "&amp;D281&amp;IF(F281&lt;&gt;""," + "&amp;F281,"")&amp;"-&gt;"&amp;J281&amp;" + "&amp;L281&amp;IF(N281&lt;&gt;""," + "&amp;N281,"")</f>
        <v xml:space="preserve">O+ + O--&gt;2O + </v>
      </c>
      <c r="Z281" s="29">
        <f>O281</f>
        <v>1.9900743804199784E-13</v>
      </c>
    </row>
    <row r="282" spans="1:26" ht="22.5" hidden="1" customHeight="1" x14ac:dyDescent="0.25">
      <c r="A282" s="1" t="s">
        <v>289</v>
      </c>
      <c r="B282" s="1" t="s">
        <v>678</v>
      </c>
      <c r="C282" s="2" t="s">
        <v>0</v>
      </c>
      <c r="D282" s="1" t="s">
        <v>1399</v>
      </c>
      <c r="E282" s="2"/>
      <c r="F282" s="22"/>
      <c r="G282" s="4" t="s">
        <v>7</v>
      </c>
      <c r="H282" s="112" t="s">
        <v>1558</v>
      </c>
      <c r="I282" s="4" t="s">
        <v>7</v>
      </c>
      <c r="J282" s="119" t="s">
        <v>637</v>
      </c>
      <c r="K282" s="2" t="s">
        <v>0</v>
      </c>
      <c r="L282" s="22" t="s">
        <v>639</v>
      </c>
      <c r="M282" s="2"/>
      <c r="N282" s="125"/>
      <c r="O282" s="126">
        <f>2*10^-13*(300/Tg)^0.5</f>
        <v>1.9900743804199784E-13</v>
      </c>
      <c r="P282" s="146">
        <v>1.9900743804199784E-13</v>
      </c>
      <c r="Q282" s="118" t="s">
        <v>1657</v>
      </c>
      <c r="R282" s="1"/>
      <c r="S282" s="1" t="s">
        <v>1049</v>
      </c>
      <c r="T282" s="1"/>
      <c r="U282" s="24" t="s">
        <v>691</v>
      </c>
      <c r="V282" s="116" t="b">
        <f>OR(B282=$V$1,D282=$V$1,B282="2"&amp;$V$1)</f>
        <v>0</v>
      </c>
      <c r="W282" s="1" t="b">
        <f>OR(J282=$W$1,L282=$W$1,N282=$W$1,J282="2"&amp;$W$1,L282="2"&amp;$W$1,N282="2"&amp;$W$1)</f>
        <v>0</v>
      </c>
      <c r="X282" s="25" t="s">
        <v>1607</v>
      </c>
      <c r="Y282" s="25" t="str">
        <f>B282&amp;" + "&amp;D282&amp;IF(F282&lt;&gt;""," + "&amp;F282,"")&amp;"-&gt;"&amp;J282&amp;" + "&amp;L282&amp;IF(N282&lt;&gt;""," + "&amp;N282,"")</f>
        <v>O+ + O2--&gt;O2 + O</v>
      </c>
      <c r="Z282" s="29">
        <f>O282</f>
        <v>1.9900743804199784E-13</v>
      </c>
    </row>
    <row r="283" spans="1:26" ht="22.5" hidden="1" customHeight="1" x14ac:dyDescent="0.25">
      <c r="A283" s="1" t="s">
        <v>290</v>
      </c>
      <c r="B283" s="1" t="s">
        <v>678</v>
      </c>
      <c r="C283" s="2" t="s">
        <v>0</v>
      </c>
      <c r="D283" s="1" t="s">
        <v>1396</v>
      </c>
      <c r="E283" s="2"/>
      <c r="F283" s="22"/>
      <c r="G283" s="4" t="s">
        <v>7</v>
      </c>
      <c r="H283" s="112" t="s">
        <v>1558</v>
      </c>
      <c r="I283" s="4" t="s">
        <v>7</v>
      </c>
      <c r="J283" s="119" t="s">
        <v>638</v>
      </c>
      <c r="K283" s="2" t="s">
        <v>0</v>
      </c>
      <c r="L283" s="22" t="s">
        <v>639</v>
      </c>
      <c r="M283" s="2"/>
      <c r="N283" s="125"/>
      <c r="O283" s="126">
        <f>2*10^-13*(300/Tg)^0.5</f>
        <v>1.9900743804199784E-13</v>
      </c>
      <c r="P283" s="146">
        <v>1.9900743804199784E-13</v>
      </c>
      <c r="Q283" s="118" t="s">
        <v>1657</v>
      </c>
      <c r="R283" s="1"/>
      <c r="S283" s="1" t="s">
        <v>1049</v>
      </c>
      <c r="T283" s="1"/>
      <c r="U283" s="24" t="s">
        <v>691</v>
      </c>
      <c r="V283" s="116" t="b">
        <f>OR(B283=$V$1,D283=$V$1,B283="2"&amp;$V$1)</f>
        <v>0</v>
      </c>
      <c r="W283" s="1" t="b">
        <f>OR(J283=$W$1,L283=$W$1,N283=$W$1,J283="2"&amp;$W$1,L283="2"&amp;$W$1,N283="2"&amp;$W$1)</f>
        <v>0</v>
      </c>
      <c r="X283" s="25" t="s">
        <v>1607</v>
      </c>
      <c r="Y283" s="25" t="str">
        <f>B283&amp;" + "&amp;D283&amp;IF(F283&lt;&gt;""," + "&amp;F283,"")&amp;"-&gt;"&amp;J283&amp;" + "&amp;L283&amp;IF(N283&lt;&gt;""," + "&amp;N283,"")</f>
        <v>O+ + O3--&gt;O3 + O</v>
      </c>
      <c r="Z283" s="29">
        <f>O283</f>
        <v>1.9900743804199784E-13</v>
      </c>
    </row>
    <row r="284" spans="1:26" ht="22.5" hidden="1" customHeight="1" x14ac:dyDescent="0.25">
      <c r="A284" s="1" t="s">
        <v>291</v>
      </c>
      <c r="B284" s="1" t="s">
        <v>678</v>
      </c>
      <c r="C284" s="2" t="s">
        <v>0</v>
      </c>
      <c r="D284" s="1" t="s">
        <v>1388</v>
      </c>
      <c r="E284" s="2"/>
      <c r="F284" s="22"/>
      <c r="G284" s="4" t="s">
        <v>7</v>
      </c>
      <c r="H284" s="112" t="s">
        <v>1558</v>
      </c>
      <c r="I284" s="4" t="s">
        <v>7</v>
      </c>
      <c r="J284" s="119" t="s">
        <v>1409</v>
      </c>
      <c r="K284" s="2" t="s">
        <v>0</v>
      </c>
      <c r="L284" s="1" t="s">
        <v>639</v>
      </c>
      <c r="M284" s="2"/>
      <c r="N284" s="125"/>
      <c r="O284" s="126">
        <f>1*10^-13</f>
        <v>1E-13</v>
      </c>
      <c r="P284" s="146">
        <v>1E-13</v>
      </c>
      <c r="Q284" s="118" t="s">
        <v>1167</v>
      </c>
      <c r="R284" s="1"/>
      <c r="S284" s="1" t="s">
        <v>1049</v>
      </c>
      <c r="T284" s="1"/>
      <c r="U284" s="24" t="s">
        <v>691</v>
      </c>
      <c r="V284" s="116" t="b">
        <f>OR(B284=$V$1,D284=$V$1,B284="2"&amp;$V$1)</f>
        <v>0</v>
      </c>
      <c r="W284" s="1" t="b">
        <f>OR(J284=$W$1,L284=$W$1,N284=$W$1,J284="2"&amp;$W$1,L284="2"&amp;$W$1,N284="2"&amp;$W$1)</f>
        <v>0</v>
      </c>
      <c r="X284" s="25" t="s">
        <v>1607</v>
      </c>
      <c r="Y284" s="25" t="str">
        <f>B284&amp;" + "&amp;D284&amp;IF(F284&lt;&gt;""," + "&amp;F284,"")&amp;"-&gt;"&amp;J284&amp;" + "&amp;L284&amp;IF(N284&lt;&gt;""," + "&amp;N284,"")</f>
        <v>O+ + O4--&gt;2O2 + O</v>
      </c>
      <c r="Z284" s="29">
        <f>O284</f>
        <v>1E-13</v>
      </c>
    </row>
    <row r="285" spans="1:26" ht="22.5" hidden="1" customHeight="1" x14ac:dyDescent="0.25">
      <c r="A285" s="1" t="s">
        <v>292</v>
      </c>
      <c r="B285" s="1" t="s">
        <v>678</v>
      </c>
      <c r="C285" s="2" t="s">
        <v>0</v>
      </c>
      <c r="D285" s="1" t="s">
        <v>1324</v>
      </c>
      <c r="E285" s="2"/>
      <c r="F285" s="22"/>
      <c r="G285" s="4" t="s">
        <v>7</v>
      </c>
      <c r="H285" s="112" t="s">
        <v>1558</v>
      </c>
      <c r="I285" s="4" t="s">
        <v>7</v>
      </c>
      <c r="J285" s="119" t="s">
        <v>1259</v>
      </c>
      <c r="K285" s="2" t="s">
        <v>0</v>
      </c>
      <c r="L285" s="22" t="s">
        <v>639</v>
      </c>
      <c r="M285" s="2"/>
      <c r="N285" s="125"/>
      <c r="O285" s="126">
        <f>2*10^-13*(300/Tg)^0.5</f>
        <v>1.9900743804199784E-13</v>
      </c>
      <c r="P285" s="146">
        <v>1.9900743804199784E-13</v>
      </c>
      <c r="Q285" s="118" t="s">
        <v>1657</v>
      </c>
      <c r="R285" s="1"/>
      <c r="S285" s="1" t="s">
        <v>1049</v>
      </c>
      <c r="T285" s="1"/>
      <c r="U285" s="24" t="s">
        <v>691</v>
      </c>
      <c r="V285" s="116" t="b">
        <f>OR(B285=$V$1,D285=$V$1,B285="2"&amp;$V$1)</f>
        <v>0</v>
      </c>
      <c r="W285" s="1" t="b">
        <f>OR(J285=$W$1,L285=$W$1,N285=$W$1,J285="2"&amp;$W$1,L285="2"&amp;$W$1,N285="2"&amp;$W$1)</f>
        <v>0</v>
      </c>
      <c r="X285" s="25" t="s">
        <v>1607</v>
      </c>
      <c r="Y285" s="25" t="str">
        <f>B285&amp;" + "&amp;D285&amp;IF(F285&lt;&gt;""," + "&amp;F285,"")&amp;"-&gt;"&amp;J285&amp;" + "&amp;L285&amp;IF(N285&lt;&gt;""," + "&amp;N285,"")</f>
        <v>O+ + N2O--&gt;N2O + O</v>
      </c>
      <c r="Z285" s="29">
        <f>O285</f>
        <v>1.9900743804199784E-13</v>
      </c>
    </row>
    <row r="286" spans="1:26" ht="22.5" hidden="1" customHeight="1" x14ac:dyDescent="0.25">
      <c r="A286" s="1" t="s">
        <v>293</v>
      </c>
      <c r="B286" s="1" t="s">
        <v>678</v>
      </c>
      <c r="C286" s="2" t="s">
        <v>0</v>
      </c>
      <c r="D286" s="1" t="s">
        <v>1325</v>
      </c>
      <c r="E286" s="2"/>
      <c r="F286" s="22"/>
      <c r="G286" s="4" t="s">
        <v>7</v>
      </c>
      <c r="H286" s="112" t="s">
        <v>1558</v>
      </c>
      <c r="I286" s="4" t="s">
        <v>7</v>
      </c>
      <c r="J286" s="119" t="s">
        <v>688</v>
      </c>
      <c r="K286" s="2" t="s">
        <v>0</v>
      </c>
      <c r="L286" s="22" t="s">
        <v>639</v>
      </c>
      <c r="M286" s="2"/>
      <c r="N286" s="125"/>
      <c r="O286" s="126">
        <f>2*10^-13*(300/Tg)^0.5</f>
        <v>1.9900743804199784E-13</v>
      </c>
      <c r="P286" s="146">
        <v>1.9900743804199784E-13</v>
      </c>
      <c r="Q286" s="118" t="s">
        <v>1657</v>
      </c>
      <c r="R286" s="1"/>
      <c r="S286" s="1" t="s">
        <v>1049</v>
      </c>
      <c r="T286" s="1"/>
      <c r="U286" s="24" t="s">
        <v>691</v>
      </c>
      <c r="V286" s="116" t="b">
        <f>OR(B286=$V$1,D286=$V$1,B286="2"&amp;$V$1)</f>
        <v>0</v>
      </c>
      <c r="W286" s="1" t="b">
        <f>OR(J286=$W$1,L286=$W$1,N286=$W$1,J286="2"&amp;$W$1,L286="2"&amp;$W$1,N286="2"&amp;$W$1)</f>
        <v>0</v>
      </c>
      <c r="X286" s="25" t="s">
        <v>1607</v>
      </c>
      <c r="Y286" s="25" t="str">
        <f>B286&amp;" + "&amp;D286&amp;IF(F286&lt;&gt;""," + "&amp;F286,"")&amp;"-&gt;"&amp;J286&amp;" + "&amp;L286&amp;IF(N286&lt;&gt;""," + "&amp;N286,"")</f>
        <v>O+ + NO--&gt;NO + O</v>
      </c>
      <c r="Z286" s="29">
        <f>O286</f>
        <v>1.9900743804199784E-13</v>
      </c>
    </row>
    <row r="287" spans="1:26" ht="22.5" hidden="1" customHeight="1" x14ac:dyDescent="0.25">
      <c r="A287" s="1" t="s">
        <v>294</v>
      </c>
      <c r="B287" s="1" t="s">
        <v>678</v>
      </c>
      <c r="C287" s="2" t="s">
        <v>0</v>
      </c>
      <c r="D287" s="1" t="s">
        <v>1398</v>
      </c>
      <c r="E287" s="2"/>
      <c r="F287" s="22"/>
      <c r="G287" s="4" t="s">
        <v>7</v>
      </c>
      <c r="H287" s="112" t="s">
        <v>1558</v>
      </c>
      <c r="I287" s="4" t="s">
        <v>7</v>
      </c>
      <c r="J287" s="119" t="s">
        <v>1261</v>
      </c>
      <c r="K287" s="2" t="s">
        <v>0</v>
      </c>
      <c r="L287" s="22" t="s">
        <v>639</v>
      </c>
      <c r="M287" s="2"/>
      <c r="N287" s="125"/>
      <c r="O287" s="126">
        <f>2*10^-13*(300/Tg)^0.5</f>
        <v>1.9900743804199784E-13</v>
      </c>
      <c r="P287" s="146">
        <v>1.9900743804199784E-13</v>
      </c>
      <c r="Q287" s="118" t="s">
        <v>1166</v>
      </c>
      <c r="R287" s="1"/>
      <c r="S287" s="1" t="s">
        <v>1049</v>
      </c>
      <c r="T287" s="1"/>
      <c r="U287" s="24" t="s">
        <v>690</v>
      </c>
      <c r="V287" s="116" t="b">
        <f>OR(B287=$V$1,D287=$V$1,B287="2"&amp;$V$1)</f>
        <v>0</v>
      </c>
      <c r="W287" s="1" t="b">
        <f>OR(J287=$W$1,L287=$W$1,N287=$W$1,J287="2"&amp;$W$1,L287="2"&amp;$W$1,N287="2"&amp;$W$1)</f>
        <v>1</v>
      </c>
      <c r="Y287" s="25" t="str">
        <f>B287&amp;" + "&amp;D287&amp;IF(F287&lt;&gt;""," + "&amp;F287,"")&amp;"-&gt;"&amp;J287&amp;" + "&amp;L287&amp;IF(N287&lt;&gt;""," + "&amp;N287,"")</f>
        <v>O+ + NO2--&gt;NO2 + O</v>
      </c>
      <c r="Z287" s="29">
        <f>O287</f>
        <v>1.9900743804199784E-13</v>
      </c>
    </row>
    <row r="288" spans="1:26" ht="22.5" hidden="1" customHeight="1" x14ac:dyDescent="0.25">
      <c r="A288" s="1" t="s">
        <v>295</v>
      </c>
      <c r="B288" s="1" t="s">
        <v>678</v>
      </c>
      <c r="C288" s="2" t="s">
        <v>0</v>
      </c>
      <c r="D288" s="1" t="s">
        <v>1397</v>
      </c>
      <c r="E288" s="2"/>
      <c r="F288" s="22"/>
      <c r="G288" s="4" t="s">
        <v>7</v>
      </c>
      <c r="H288" s="112" t="s">
        <v>1558</v>
      </c>
      <c r="I288" s="4" t="s">
        <v>7</v>
      </c>
      <c r="J288" s="119" t="s">
        <v>1263</v>
      </c>
      <c r="K288" s="2" t="s">
        <v>0</v>
      </c>
      <c r="L288" s="22" t="s">
        <v>639</v>
      </c>
      <c r="M288" s="2"/>
      <c r="N288" s="125"/>
      <c r="O288" s="126">
        <f>2*10^-13*(300/Tg)^0.5</f>
        <v>1.9900743804199784E-13</v>
      </c>
      <c r="P288" s="146">
        <v>1.9900743804199784E-13</v>
      </c>
      <c r="Q288" s="118" t="s">
        <v>1657</v>
      </c>
      <c r="R288" s="1"/>
      <c r="S288" s="1" t="s">
        <v>1049</v>
      </c>
      <c r="T288" s="1"/>
      <c r="U288" s="24" t="s">
        <v>691</v>
      </c>
      <c r="V288" s="116" t="b">
        <f>OR(B288=$V$1,D288=$V$1,B288="2"&amp;$V$1)</f>
        <v>0</v>
      </c>
      <c r="W288" s="1" t="b">
        <f>OR(J288=$W$1,L288=$W$1,N288=$W$1,J288="2"&amp;$W$1,L288="2"&amp;$W$1,N288="2"&amp;$W$1)</f>
        <v>0</v>
      </c>
      <c r="X288" s="25" t="s">
        <v>1607</v>
      </c>
      <c r="Y288" s="25" t="str">
        <f>B288&amp;" + "&amp;D288&amp;IF(F288&lt;&gt;""," + "&amp;F288,"")&amp;"-&gt;"&amp;J288&amp;" + "&amp;L288&amp;IF(N288&lt;&gt;""," + "&amp;N288,"")</f>
        <v>O+ + NO3--&gt;NO3 + O</v>
      </c>
      <c r="Z288" s="29">
        <f>O288</f>
        <v>1.9900743804199784E-13</v>
      </c>
    </row>
    <row r="289" spans="1:26" ht="22.5" hidden="1" customHeight="1" x14ac:dyDescent="0.25">
      <c r="A289" s="1" t="s">
        <v>296</v>
      </c>
      <c r="B289" s="1" t="s">
        <v>678</v>
      </c>
      <c r="C289" s="2" t="s">
        <v>0</v>
      </c>
      <c r="D289" s="1" t="s">
        <v>1323</v>
      </c>
      <c r="E289" s="2"/>
      <c r="F289" s="22"/>
      <c r="G289" s="4" t="s">
        <v>7</v>
      </c>
      <c r="H289" s="112" t="s">
        <v>1558</v>
      </c>
      <c r="I289" s="4" t="s">
        <v>7</v>
      </c>
      <c r="J289" s="119" t="s">
        <v>639</v>
      </c>
      <c r="K289" s="2" t="s">
        <v>0</v>
      </c>
      <c r="L289" s="22" t="s">
        <v>653</v>
      </c>
      <c r="M289" s="2"/>
      <c r="N289" s="125"/>
      <c r="O289" s="126">
        <f>2*10^-13*(300/Tg)^0.5</f>
        <v>1.9900743804199784E-13</v>
      </c>
      <c r="P289" s="146">
        <v>1.9900743804199784E-13</v>
      </c>
      <c r="Q289" s="118" t="s">
        <v>1166</v>
      </c>
      <c r="R289" s="1"/>
      <c r="S289" s="1" t="s">
        <v>1049</v>
      </c>
      <c r="T289" s="1"/>
      <c r="U289" s="24" t="s">
        <v>703</v>
      </c>
      <c r="V289" s="116" t="b">
        <f>OR(B289=$V$1,D289=$V$1,B289="2"&amp;$V$1)</f>
        <v>0</v>
      </c>
      <c r="W289" s="1" t="b">
        <f>OR(J289=$W$1,L289=$W$1,N289=$W$1,J289="2"&amp;$W$1,L289="2"&amp;$W$1,N289="2"&amp;$W$1)</f>
        <v>0</v>
      </c>
      <c r="Y289" s="25" t="str">
        <f>B289&amp;" + "&amp;D289&amp;IF(F289&lt;&gt;""," + "&amp;F289,"")&amp;"-&gt;"&amp;J289&amp;" + "&amp;L289&amp;IF(N289&lt;&gt;""," + "&amp;N289,"")</f>
        <v>O+ + H--&gt;O + H</v>
      </c>
      <c r="Z289" s="29">
        <f>O289</f>
        <v>1.9900743804199784E-13</v>
      </c>
    </row>
    <row r="290" spans="1:26" ht="22.5" hidden="1" customHeight="1" x14ac:dyDescent="0.25">
      <c r="A290" s="1" t="s">
        <v>297</v>
      </c>
      <c r="B290" s="1" t="s">
        <v>678</v>
      </c>
      <c r="C290" s="2" t="s">
        <v>0</v>
      </c>
      <c r="D290" s="1" t="s">
        <v>1332</v>
      </c>
      <c r="E290" s="2"/>
      <c r="F290" s="22"/>
      <c r="G290" s="4" t="s">
        <v>7</v>
      </c>
      <c r="H290" s="112" t="s">
        <v>1558</v>
      </c>
      <c r="I290" s="4" t="s">
        <v>7</v>
      </c>
      <c r="J290" s="119" t="s">
        <v>639</v>
      </c>
      <c r="K290" s="2" t="s">
        <v>0</v>
      </c>
      <c r="L290" s="22" t="s">
        <v>654</v>
      </c>
      <c r="M290" s="2"/>
      <c r="N290" s="125"/>
      <c r="O290" s="126">
        <f>2*10^-13*(300/Tg)^0.5</f>
        <v>1.9900743804199784E-13</v>
      </c>
      <c r="P290" s="146">
        <v>1.9900743804199784E-13</v>
      </c>
      <c r="Q290" s="118" t="s">
        <v>1166</v>
      </c>
      <c r="R290" s="1"/>
      <c r="S290" s="1" t="s">
        <v>1049</v>
      </c>
      <c r="T290" s="1"/>
      <c r="U290" s="24" t="s">
        <v>703</v>
      </c>
      <c r="V290" s="116" t="b">
        <f>OR(B290=$V$1,D290=$V$1,B290="2"&amp;$V$1)</f>
        <v>0</v>
      </c>
      <c r="W290" s="1" t="b">
        <f>OR(J290=$W$1,L290=$W$1,N290=$W$1,J290="2"&amp;$W$1,L290="2"&amp;$W$1,N290="2"&amp;$W$1)</f>
        <v>0</v>
      </c>
      <c r="Y290" s="25" t="str">
        <f>B290&amp;" + "&amp;D290&amp;IF(F290&lt;&gt;""," + "&amp;F290,"")&amp;"-&gt;"&amp;J290&amp;" + "&amp;L290&amp;IF(N290&lt;&gt;""," + "&amp;N290,"")</f>
        <v>O+ + OH--&gt;O + OH</v>
      </c>
      <c r="Z290" s="29">
        <f>O290</f>
        <v>1.9900743804199784E-13</v>
      </c>
    </row>
    <row r="291" spans="1:26" ht="22.5" hidden="1" customHeight="1" x14ac:dyDescent="0.25">
      <c r="A291" s="1" t="s">
        <v>298</v>
      </c>
      <c r="B291" s="1" t="s">
        <v>822</v>
      </c>
      <c r="C291" s="2" t="s">
        <v>0</v>
      </c>
      <c r="D291" s="1" t="s">
        <v>1328</v>
      </c>
      <c r="E291" s="2"/>
      <c r="F291" s="22"/>
      <c r="G291" s="4" t="s">
        <v>7</v>
      </c>
      <c r="H291" s="112" t="s">
        <v>1558</v>
      </c>
      <c r="I291" s="4" t="s">
        <v>7</v>
      </c>
      <c r="J291" s="119" t="s">
        <v>1419</v>
      </c>
      <c r="K291" s="2"/>
      <c r="L291" s="22"/>
      <c r="M291" s="2"/>
      <c r="N291" s="125"/>
      <c r="O291" s="126">
        <f>1*10^-13</f>
        <v>1E-13</v>
      </c>
      <c r="P291" s="146">
        <v>1E-13</v>
      </c>
      <c r="Q291" s="118" t="s">
        <v>1167</v>
      </c>
      <c r="R291" s="1"/>
      <c r="S291" s="1" t="s">
        <v>1049</v>
      </c>
      <c r="T291" s="1"/>
      <c r="U291" s="24" t="s">
        <v>690</v>
      </c>
      <c r="V291" s="116" t="b">
        <f>OR(B291=$V$1,D291=$V$1,B291="2"&amp;$V$1)</f>
        <v>0</v>
      </c>
      <c r="W291" s="1" t="b">
        <f>OR(J291=$W$1,L291=$W$1,N291=$W$1,J291="2"&amp;$W$1,L291="2"&amp;$W$1,N291="2"&amp;$W$1)</f>
        <v>0</v>
      </c>
      <c r="Y291" s="25" t="str">
        <f>B291&amp;" + "&amp;D291&amp;IF(F291&lt;&gt;""," + "&amp;F291,"")&amp;"-&gt;"&amp;J291&amp;" + "&amp;L291&amp;IF(N291&lt;&gt;""," + "&amp;N291,"")</f>
        <v xml:space="preserve">O2+ + O--&gt;3O + </v>
      </c>
      <c r="Z291" s="29">
        <f>O291</f>
        <v>1E-13</v>
      </c>
    </row>
    <row r="292" spans="1:26" ht="22.5" hidden="1" customHeight="1" x14ac:dyDescent="0.25">
      <c r="A292" s="1" t="s">
        <v>299</v>
      </c>
      <c r="B292" s="1" t="s">
        <v>822</v>
      </c>
      <c r="C292" s="2" t="s">
        <v>0</v>
      </c>
      <c r="D292" s="1" t="s">
        <v>1328</v>
      </c>
      <c r="E292" s="2"/>
      <c r="F292" s="22"/>
      <c r="G292" s="4" t="s">
        <v>7</v>
      </c>
      <c r="H292" s="112" t="s">
        <v>1558</v>
      </c>
      <c r="I292" s="4" t="s">
        <v>7</v>
      </c>
      <c r="J292" s="119" t="s">
        <v>639</v>
      </c>
      <c r="K292" s="2" t="s">
        <v>0</v>
      </c>
      <c r="L292" s="1" t="s">
        <v>649</v>
      </c>
      <c r="M292" s="2"/>
      <c r="N292" s="125"/>
      <c r="O292" s="126">
        <f>2*10^-13*(300/Tg)^0.5</f>
        <v>1.9900743804199784E-13</v>
      </c>
      <c r="P292" s="146">
        <v>1.9900743804199784E-13</v>
      </c>
      <c r="Q292" s="118" t="s">
        <v>1657</v>
      </c>
      <c r="R292" s="1"/>
      <c r="S292" s="1" t="s">
        <v>1049</v>
      </c>
      <c r="T292" s="1"/>
      <c r="U292" s="24" t="s">
        <v>691</v>
      </c>
      <c r="V292" s="116" t="b">
        <f>OR(B292=$V$1,D292=$V$1,B292="2"&amp;$V$1)</f>
        <v>0</v>
      </c>
      <c r="W292" s="1" t="b">
        <f>OR(J292=$W$1,L292=$W$1,N292=$W$1,J292="2"&amp;$W$1,L292="2"&amp;$W$1,N292="2"&amp;$W$1)</f>
        <v>0</v>
      </c>
      <c r="X292" s="25" t="s">
        <v>1607</v>
      </c>
      <c r="Y292" s="25" t="str">
        <f>B292&amp;" + "&amp;D292&amp;IF(F292&lt;&gt;""," + "&amp;F292,"")&amp;"-&gt;"&amp;J292&amp;" + "&amp;L292&amp;IF(N292&lt;&gt;""," + "&amp;N292,"")</f>
        <v>O2+ + O--&gt;O + O2</v>
      </c>
      <c r="Z292" s="29">
        <f>O292</f>
        <v>1.9900743804199784E-13</v>
      </c>
    </row>
    <row r="293" spans="1:26" ht="22.5" hidden="1" customHeight="1" x14ac:dyDescent="0.25">
      <c r="A293" s="1" t="s">
        <v>300</v>
      </c>
      <c r="B293" s="1" t="s">
        <v>822</v>
      </c>
      <c r="C293" s="2" t="s">
        <v>0</v>
      </c>
      <c r="D293" s="1" t="s">
        <v>1399</v>
      </c>
      <c r="E293" s="2"/>
      <c r="F293" s="22"/>
      <c r="G293" s="4" t="s">
        <v>7</v>
      </c>
      <c r="H293" s="112" t="s">
        <v>1558</v>
      </c>
      <c r="I293" s="4" t="s">
        <v>7</v>
      </c>
      <c r="J293" s="119" t="s">
        <v>1409</v>
      </c>
      <c r="K293" s="2"/>
      <c r="L293" s="1"/>
      <c r="M293" s="2"/>
      <c r="N293" s="125"/>
      <c r="O293" s="126">
        <f>2*10^-13*(300/Tg)^0.5</f>
        <v>1.9900743804199784E-13</v>
      </c>
      <c r="P293" s="146">
        <v>1.9900743804199784E-13</v>
      </c>
      <c r="Q293" s="118" t="s">
        <v>1657</v>
      </c>
      <c r="R293" s="1"/>
      <c r="S293" s="1" t="s">
        <v>1049</v>
      </c>
      <c r="T293" s="1"/>
      <c r="U293" s="24" t="s">
        <v>691</v>
      </c>
      <c r="V293" s="116" t="b">
        <f>OR(B293=$V$1,D293=$V$1,B293="2"&amp;$V$1)</f>
        <v>0</v>
      </c>
      <c r="W293" s="1" t="b">
        <f>OR(J293=$W$1,L293=$W$1,N293=$W$1,J293="2"&amp;$W$1,L293="2"&amp;$W$1,N293="2"&amp;$W$1)</f>
        <v>0</v>
      </c>
      <c r="X293" s="25" t="s">
        <v>1607</v>
      </c>
      <c r="Y293" s="25" t="str">
        <f>B293&amp;" + "&amp;D293&amp;IF(F293&lt;&gt;""," + "&amp;F293,"")&amp;"-&gt;"&amp;J293&amp;" + "&amp;L293&amp;IF(N293&lt;&gt;""," + "&amp;N293,"")</f>
        <v xml:space="preserve">O2+ + O2--&gt;2O2 + </v>
      </c>
      <c r="Z293" s="29">
        <f>O293</f>
        <v>1.9900743804199784E-13</v>
      </c>
    </row>
    <row r="294" spans="1:26" ht="22.5" hidden="1" customHeight="1" x14ac:dyDescent="0.25">
      <c r="A294" s="1" t="s">
        <v>301</v>
      </c>
      <c r="B294" s="1" t="s">
        <v>822</v>
      </c>
      <c r="C294" s="2" t="s">
        <v>0</v>
      </c>
      <c r="D294" s="1" t="s">
        <v>1399</v>
      </c>
      <c r="E294" s="2"/>
      <c r="F294" s="22"/>
      <c r="G294" s="4" t="s">
        <v>7</v>
      </c>
      <c r="H294" s="112" t="s">
        <v>1558</v>
      </c>
      <c r="I294" s="4" t="s">
        <v>7</v>
      </c>
      <c r="J294" s="119" t="s">
        <v>637</v>
      </c>
      <c r="K294" s="2" t="s">
        <v>0</v>
      </c>
      <c r="L294" s="22" t="s">
        <v>1411</v>
      </c>
      <c r="M294" s="2"/>
      <c r="N294" s="125"/>
      <c r="O294" s="126">
        <f>1*10^-13</f>
        <v>1E-13</v>
      </c>
      <c r="P294" s="146">
        <v>1E-13</v>
      </c>
      <c r="Q294" s="118" t="s">
        <v>1167</v>
      </c>
      <c r="R294" s="1"/>
      <c r="S294" s="1" t="s">
        <v>1049</v>
      </c>
      <c r="T294" s="1"/>
      <c r="U294" s="24" t="s">
        <v>691</v>
      </c>
      <c r="V294" s="116" t="b">
        <f>OR(B294=$V$1,D294=$V$1,B294="2"&amp;$V$1)</f>
        <v>0</v>
      </c>
      <c r="W294" s="1" t="b">
        <f>OR(J294=$W$1,L294=$W$1,N294=$W$1,J294="2"&amp;$W$1,L294="2"&amp;$W$1,N294="2"&amp;$W$1)</f>
        <v>0</v>
      </c>
      <c r="X294" s="25" t="s">
        <v>1607</v>
      </c>
      <c r="Y294" s="25" t="str">
        <f>B294&amp;" + "&amp;D294&amp;IF(F294&lt;&gt;""," + "&amp;F294,"")&amp;"-&gt;"&amp;J294&amp;" + "&amp;L294&amp;IF(N294&lt;&gt;""," + "&amp;N294,"")</f>
        <v>O2+ + O2--&gt;O2 + 2O</v>
      </c>
      <c r="Z294" s="29">
        <f>O294</f>
        <v>1E-13</v>
      </c>
    </row>
    <row r="295" spans="1:26" ht="22.5" hidden="1" customHeight="1" x14ac:dyDescent="0.25">
      <c r="A295" s="1" t="s">
        <v>302</v>
      </c>
      <c r="B295" s="1" t="s">
        <v>822</v>
      </c>
      <c r="C295" s="2" t="s">
        <v>0</v>
      </c>
      <c r="D295" s="1" t="s">
        <v>1396</v>
      </c>
      <c r="E295" s="2"/>
      <c r="F295" s="22"/>
      <c r="G295" s="4" t="s">
        <v>7</v>
      </c>
      <c r="H295" s="112" t="s">
        <v>1558</v>
      </c>
      <c r="I295" s="4" t="s">
        <v>7</v>
      </c>
      <c r="J295" s="119" t="s">
        <v>638</v>
      </c>
      <c r="K295" s="2" t="s">
        <v>0</v>
      </c>
      <c r="L295" s="1" t="s">
        <v>649</v>
      </c>
      <c r="M295" s="2"/>
      <c r="N295" s="125"/>
      <c r="O295" s="126">
        <f>2*10^-13*(300/Tg)^0.5</f>
        <v>1.9900743804199784E-13</v>
      </c>
      <c r="P295" s="146">
        <v>1.9900743804199784E-13</v>
      </c>
      <c r="Q295" s="118" t="s">
        <v>1657</v>
      </c>
      <c r="R295" s="1"/>
      <c r="S295" s="1" t="s">
        <v>1049</v>
      </c>
      <c r="T295" s="1"/>
      <c r="U295" s="24" t="s">
        <v>691</v>
      </c>
      <c r="V295" s="116" t="b">
        <f>OR(B295=$V$1,D295=$V$1,B295="2"&amp;$V$1)</f>
        <v>0</v>
      </c>
      <c r="W295" s="1" t="b">
        <f>OR(J295=$W$1,L295=$W$1,N295=$W$1,J295="2"&amp;$W$1,L295="2"&amp;$W$1,N295="2"&amp;$W$1)</f>
        <v>0</v>
      </c>
      <c r="X295" s="25" t="s">
        <v>1607</v>
      </c>
      <c r="Y295" s="25" t="str">
        <f>B295&amp;" + "&amp;D295&amp;IF(F295&lt;&gt;""," + "&amp;F295,"")&amp;"-&gt;"&amp;J295&amp;" + "&amp;L295&amp;IF(N295&lt;&gt;""," + "&amp;N295,"")</f>
        <v>O2+ + O3--&gt;O3 + O2</v>
      </c>
      <c r="Z295" s="29">
        <f>O295</f>
        <v>1.9900743804199784E-13</v>
      </c>
    </row>
    <row r="296" spans="1:26" ht="22.5" hidden="1" customHeight="1" x14ac:dyDescent="0.25">
      <c r="A296" s="1" t="s">
        <v>303</v>
      </c>
      <c r="B296" s="1" t="s">
        <v>822</v>
      </c>
      <c r="C296" s="2" t="s">
        <v>0</v>
      </c>
      <c r="D296" s="1" t="s">
        <v>1396</v>
      </c>
      <c r="E296" s="2"/>
      <c r="F296" s="22"/>
      <c r="G296" s="4" t="s">
        <v>7</v>
      </c>
      <c r="H296" s="112" t="s">
        <v>1558</v>
      </c>
      <c r="I296" s="4" t="s">
        <v>7</v>
      </c>
      <c r="J296" s="119" t="s">
        <v>638</v>
      </c>
      <c r="K296" s="2" t="s">
        <v>0</v>
      </c>
      <c r="L296" s="22" t="s">
        <v>1411</v>
      </c>
      <c r="M296" s="2"/>
      <c r="N296" s="125"/>
      <c r="O296" s="126">
        <f>1*10^-13</f>
        <v>1E-13</v>
      </c>
      <c r="P296" s="146">
        <v>1E-13</v>
      </c>
      <c r="Q296" s="118" t="s">
        <v>1167</v>
      </c>
      <c r="R296" s="1"/>
      <c r="S296" s="1" t="s">
        <v>1049</v>
      </c>
      <c r="T296" s="1"/>
      <c r="U296" s="24" t="s">
        <v>691</v>
      </c>
      <c r="V296" s="116" t="b">
        <f>OR(B296=$V$1,D296=$V$1,B296="2"&amp;$V$1)</f>
        <v>0</v>
      </c>
      <c r="W296" s="1" t="b">
        <f>OR(J296=$W$1,L296=$W$1,N296=$W$1,J296="2"&amp;$W$1,L296="2"&amp;$W$1,N296="2"&amp;$W$1)</f>
        <v>0</v>
      </c>
      <c r="X296" s="25" t="s">
        <v>1607</v>
      </c>
      <c r="Y296" s="25" t="str">
        <f>B296&amp;" + "&amp;D296&amp;IF(F296&lt;&gt;""," + "&amp;F296,"")&amp;"-&gt;"&amp;J296&amp;" + "&amp;L296&amp;IF(N296&lt;&gt;""," + "&amp;N296,"")</f>
        <v>O2+ + O3--&gt;O3 + 2O</v>
      </c>
      <c r="Z296" s="29">
        <f>O296</f>
        <v>1E-13</v>
      </c>
    </row>
    <row r="297" spans="1:26" ht="22.5" hidden="1" customHeight="1" x14ac:dyDescent="0.25">
      <c r="A297" s="1" t="s">
        <v>304</v>
      </c>
      <c r="B297" s="1" t="s">
        <v>822</v>
      </c>
      <c r="C297" s="2" t="s">
        <v>0</v>
      </c>
      <c r="D297" s="1" t="s">
        <v>1388</v>
      </c>
      <c r="E297" s="2"/>
      <c r="F297" s="22"/>
      <c r="G297" s="4" t="s">
        <v>7</v>
      </c>
      <c r="H297" s="112" t="s">
        <v>1558</v>
      </c>
      <c r="I297" s="4" t="s">
        <v>7</v>
      </c>
      <c r="J297" s="119" t="s">
        <v>1420</v>
      </c>
      <c r="K297" s="2"/>
      <c r="L297" s="1"/>
      <c r="M297" s="2"/>
      <c r="N297" s="128"/>
      <c r="O297" s="123">
        <f>1*10^-13</f>
        <v>1E-13</v>
      </c>
      <c r="P297" s="145">
        <v>1E-13</v>
      </c>
      <c r="Q297" s="118" t="s">
        <v>1167</v>
      </c>
      <c r="R297" s="1"/>
      <c r="S297" s="1" t="s">
        <v>1049</v>
      </c>
      <c r="T297" s="1"/>
      <c r="U297" s="24" t="s">
        <v>691</v>
      </c>
      <c r="V297" s="116" t="b">
        <f>OR(B297=$V$1,D297=$V$1,B297="2"&amp;$V$1)</f>
        <v>0</v>
      </c>
      <c r="W297" s="1" t="b">
        <f>OR(J297=$W$1,L297=$W$1,N297=$W$1,J297="2"&amp;$W$1,L297="2"&amp;$W$1,N297="2"&amp;$W$1)</f>
        <v>0</v>
      </c>
      <c r="X297" s="25" t="s">
        <v>1607</v>
      </c>
      <c r="Y297" s="25" t="str">
        <f>B297&amp;" + "&amp;D297&amp;IF(F297&lt;&gt;""," + "&amp;F297,"")&amp;"-&gt;"&amp;J297&amp;" + "&amp;L297&amp;IF(N297&lt;&gt;""," + "&amp;N297,"")</f>
        <v xml:space="preserve">O2+ + O4--&gt;3O2 + </v>
      </c>
      <c r="Z297" s="29">
        <f>O297</f>
        <v>1E-13</v>
      </c>
    </row>
    <row r="298" spans="1:26" ht="22.5" hidden="1" customHeight="1" x14ac:dyDescent="0.25">
      <c r="A298" s="1" t="s">
        <v>305</v>
      </c>
      <c r="B298" s="1" t="s">
        <v>822</v>
      </c>
      <c r="C298" s="2" t="s">
        <v>0</v>
      </c>
      <c r="D298" s="1" t="s">
        <v>1324</v>
      </c>
      <c r="E298" s="2"/>
      <c r="F298" s="22"/>
      <c r="G298" s="4" t="s">
        <v>7</v>
      </c>
      <c r="H298" s="112" t="s">
        <v>1558</v>
      </c>
      <c r="I298" s="4" t="s">
        <v>7</v>
      </c>
      <c r="J298" s="119" t="s">
        <v>1259</v>
      </c>
      <c r="K298" s="2" t="s">
        <v>0</v>
      </c>
      <c r="L298" s="1" t="s">
        <v>649</v>
      </c>
      <c r="M298" s="2"/>
      <c r="N298" s="125"/>
      <c r="O298" s="126">
        <f>2*10^-13*(300/Tg)^0.5</f>
        <v>1.9900743804199784E-13</v>
      </c>
      <c r="P298" s="146">
        <v>1.9900743804199784E-13</v>
      </c>
      <c r="Q298" s="118" t="s">
        <v>1657</v>
      </c>
      <c r="R298" s="1"/>
      <c r="S298" s="1" t="s">
        <v>1049</v>
      </c>
      <c r="T298" s="1"/>
      <c r="U298" s="24" t="s">
        <v>691</v>
      </c>
      <c r="V298" s="116" t="b">
        <f>OR(B298=$V$1,D298=$V$1,B298="2"&amp;$V$1)</f>
        <v>0</v>
      </c>
      <c r="W298" s="1" t="b">
        <f>OR(J298=$W$1,L298=$W$1,N298=$W$1,J298="2"&amp;$W$1,L298="2"&amp;$W$1,N298="2"&amp;$W$1)</f>
        <v>0</v>
      </c>
      <c r="X298" s="25" t="s">
        <v>1607</v>
      </c>
      <c r="Y298" s="25" t="str">
        <f>B298&amp;" + "&amp;D298&amp;IF(F298&lt;&gt;""," + "&amp;F298,"")&amp;"-&gt;"&amp;J298&amp;" + "&amp;L298&amp;IF(N298&lt;&gt;""," + "&amp;N298,"")</f>
        <v>O2+ + N2O--&gt;N2O + O2</v>
      </c>
      <c r="Z298" s="29">
        <f>O298</f>
        <v>1.9900743804199784E-13</v>
      </c>
    </row>
    <row r="299" spans="1:26" ht="22.5" hidden="1" customHeight="1" x14ac:dyDescent="0.25">
      <c r="A299" s="1" t="s">
        <v>306</v>
      </c>
      <c r="B299" s="1" t="s">
        <v>822</v>
      </c>
      <c r="C299" s="2" t="s">
        <v>0</v>
      </c>
      <c r="D299" s="1" t="s">
        <v>1324</v>
      </c>
      <c r="E299" s="2"/>
      <c r="F299" s="22"/>
      <c r="G299" s="4" t="s">
        <v>7</v>
      </c>
      <c r="H299" s="112" t="s">
        <v>1558</v>
      </c>
      <c r="I299" s="4" t="s">
        <v>7</v>
      </c>
      <c r="J299" s="119" t="s">
        <v>1259</v>
      </c>
      <c r="K299" s="2" t="s">
        <v>0</v>
      </c>
      <c r="L299" s="22" t="s">
        <v>1411</v>
      </c>
      <c r="M299" s="2"/>
      <c r="N299" s="125"/>
      <c r="O299" s="126">
        <f>1*10^-13</f>
        <v>1E-13</v>
      </c>
      <c r="P299" s="146">
        <v>1E-13</v>
      </c>
      <c r="Q299" s="118" t="s">
        <v>1167</v>
      </c>
      <c r="R299" s="1"/>
      <c r="S299" s="1" t="s">
        <v>1049</v>
      </c>
      <c r="T299" s="1"/>
      <c r="U299" s="24" t="s">
        <v>691</v>
      </c>
      <c r="V299" s="116" t="b">
        <f>OR(B299=$V$1,D299=$V$1,B299="2"&amp;$V$1)</f>
        <v>0</v>
      </c>
      <c r="W299" s="1" t="b">
        <f>OR(J299=$W$1,L299=$W$1,N299=$W$1,J299="2"&amp;$W$1,L299="2"&amp;$W$1,N299="2"&amp;$W$1)</f>
        <v>0</v>
      </c>
      <c r="X299" s="25" t="s">
        <v>1607</v>
      </c>
      <c r="Y299" s="25" t="str">
        <f>B299&amp;" + "&amp;D299&amp;IF(F299&lt;&gt;""," + "&amp;F299,"")&amp;"-&gt;"&amp;J299&amp;" + "&amp;L299&amp;IF(N299&lt;&gt;""," + "&amp;N299,"")</f>
        <v>O2+ + N2O--&gt;N2O + 2O</v>
      </c>
      <c r="Z299" s="29">
        <f>O299</f>
        <v>1E-13</v>
      </c>
    </row>
    <row r="300" spans="1:26" ht="22.5" hidden="1" customHeight="1" x14ac:dyDescent="0.25">
      <c r="A300" s="1" t="s">
        <v>307</v>
      </c>
      <c r="B300" s="1" t="s">
        <v>822</v>
      </c>
      <c r="C300" s="2" t="s">
        <v>0</v>
      </c>
      <c r="D300" s="1" t="s">
        <v>1325</v>
      </c>
      <c r="E300" s="2"/>
      <c r="F300" s="22"/>
      <c r="G300" s="4" t="s">
        <v>7</v>
      </c>
      <c r="H300" s="112" t="s">
        <v>1558</v>
      </c>
      <c r="I300" s="4" t="s">
        <v>7</v>
      </c>
      <c r="J300" s="119" t="s">
        <v>688</v>
      </c>
      <c r="K300" s="2" t="s">
        <v>0</v>
      </c>
      <c r="L300" s="1" t="s">
        <v>649</v>
      </c>
      <c r="M300" s="2"/>
      <c r="N300" s="125"/>
      <c r="O300" s="126">
        <f>2*10^-13*(300/Tg)^0.5</f>
        <v>1.9900743804199784E-13</v>
      </c>
      <c r="P300" s="146">
        <v>1.9900743804199784E-13</v>
      </c>
      <c r="Q300" s="118" t="s">
        <v>1166</v>
      </c>
      <c r="R300" s="1"/>
      <c r="S300" s="1" t="s">
        <v>1049</v>
      </c>
      <c r="T300" s="1"/>
      <c r="U300" s="24" t="s">
        <v>756</v>
      </c>
      <c r="V300" s="116" t="b">
        <f>OR(B300=$V$1,D300=$V$1,B300="2"&amp;$V$1)</f>
        <v>0</v>
      </c>
      <c r="W300" s="1" t="b">
        <f>OR(J300=$W$1,L300=$W$1,N300=$W$1,J300="2"&amp;$W$1,L300="2"&amp;$W$1,N300="2"&amp;$W$1)</f>
        <v>0</v>
      </c>
      <c r="Y300" s="25" t="str">
        <f>B300&amp;" + "&amp;D300&amp;IF(F300&lt;&gt;""," + "&amp;F300,"")&amp;"-&gt;"&amp;J300&amp;" + "&amp;L300&amp;IF(N300&lt;&gt;""," + "&amp;N300,"")</f>
        <v>O2+ + NO--&gt;NO + O2</v>
      </c>
      <c r="Z300" s="29">
        <f>O300</f>
        <v>1.9900743804199784E-13</v>
      </c>
    </row>
    <row r="301" spans="1:26" ht="22.5" hidden="1" customHeight="1" x14ac:dyDescent="0.25">
      <c r="A301" s="1" t="s">
        <v>308</v>
      </c>
      <c r="B301" s="1" t="s">
        <v>822</v>
      </c>
      <c r="C301" s="2" t="s">
        <v>0</v>
      </c>
      <c r="D301" s="1" t="s">
        <v>1325</v>
      </c>
      <c r="E301" s="2"/>
      <c r="F301" s="22"/>
      <c r="G301" s="4" t="s">
        <v>7</v>
      </c>
      <c r="H301" s="112" t="s">
        <v>1558</v>
      </c>
      <c r="I301" s="4" t="s">
        <v>7</v>
      </c>
      <c r="J301" s="119" t="s">
        <v>688</v>
      </c>
      <c r="K301" s="2" t="s">
        <v>0</v>
      </c>
      <c r="L301" s="22" t="s">
        <v>1411</v>
      </c>
      <c r="M301" s="2"/>
      <c r="N301" s="125"/>
      <c r="O301" s="126">
        <f>1*10^-13</f>
        <v>1E-13</v>
      </c>
      <c r="P301" s="146">
        <v>1E-13</v>
      </c>
      <c r="Q301" s="118" t="s">
        <v>1167</v>
      </c>
      <c r="R301" s="1"/>
      <c r="S301" s="1" t="s">
        <v>1049</v>
      </c>
      <c r="T301" s="1"/>
      <c r="U301" s="24" t="s">
        <v>691</v>
      </c>
      <c r="V301" s="116" t="b">
        <f>OR(B301=$V$1,D301=$V$1,B301="2"&amp;$V$1)</f>
        <v>0</v>
      </c>
      <c r="W301" s="1" t="b">
        <f>OR(J301=$W$1,L301=$W$1,N301=$W$1,J301="2"&amp;$W$1,L301="2"&amp;$W$1,N301="2"&amp;$W$1)</f>
        <v>0</v>
      </c>
      <c r="X301" s="25" t="s">
        <v>1607</v>
      </c>
      <c r="Y301" s="25" t="str">
        <f>B301&amp;" + "&amp;D301&amp;IF(F301&lt;&gt;""," + "&amp;F301,"")&amp;"-&gt;"&amp;J301&amp;" + "&amp;L301&amp;IF(N301&lt;&gt;""," + "&amp;N301,"")</f>
        <v>O2+ + NO--&gt;NO + 2O</v>
      </c>
      <c r="Z301" s="29">
        <f>O301</f>
        <v>1E-13</v>
      </c>
    </row>
    <row r="302" spans="1:26" ht="22.5" hidden="1" customHeight="1" x14ac:dyDescent="0.25">
      <c r="A302" s="1" t="s">
        <v>309</v>
      </c>
      <c r="B302" s="1" t="s">
        <v>822</v>
      </c>
      <c r="C302" s="2" t="s">
        <v>0</v>
      </c>
      <c r="D302" s="1" t="s">
        <v>1326</v>
      </c>
      <c r="E302" s="2"/>
      <c r="F302" s="22"/>
      <c r="G302" s="4" t="s">
        <v>7</v>
      </c>
      <c r="H302" s="112" t="s">
        <v>1558</v>
      </c>
      <c r="I302" s="4" t="s">
        <v>7</v>
      </c>
      <c r="J302" s="119" t="s">
        <v>1261</v>
      </c>
      <c r="K302" s="2" t="s">
        <v>0</v>
      </c>
      <c r="L302" s="1" t="s">
        <v>649</v>
      </c>
      <c r="M302" s="2"/>
      <c r="N302" s="125"/>
      <c r="O302" s="126">
        <f>2*10^-13*(300/Tg)^0.5</f>
        <v>1.9900743804199784E-13</v>
      </c>
      <c r="P302" s="146">
        <v>1.9900743804199784E-13</v>
      </c>
      <c r="Q302" s="118" t="s">
        <v>1657</v>
      </c>
      <c r="R302" s="1"/>
      <c r="S302" s="1" t="s">
        <v>1049</v>
      </c>
      <c r="T302" s="1"/>
      <c r="U302" s="24" t="s">
        <v>691</v>
      </c>
      <c r="V302" s="116" t="b">
        <f>OR(B302=$V$1,D302=$V$1,B302="2"&amp;$V$1)</f>
        <v>0</v>
      </c>
      <c r="W302" s="1" t="b">
        <f>OR(J302=$W$1,L302=$W$1,N302=$W$1,J302="2"&amp;$W$1,L302="2"&amp;$W$1,N302="2"&amp;$W$1)</f>
        <v>1</v>
      </c>
      <c r="X302" s="25" t="s">
        <v>1607</v>
      </c>
      <c r="Y302" s="25" t="str">
        <f>B302&amp;" + "&amp;D302&amp;IF(F302&lt;&gt;""," + "&amp;F302,"")&amp;"-&gt;"&amp;J302&amp;" + "&amp;L302&amp;IF(N302&lt;&gt;""," + "&amp;N302,"")</f>
        <v>O2+ + NO2--&gt;NO2 + O2</v>
      </c>
      <c r="Z302" s="29">
        <f>O302</f>
        <v>1.9900743804199784E-13</v>
      </c>
    </row>
    <row r="303" spans="1:26" ht="22.5" hidden="1" customHeight="1" x14ac:dyDescent="0.25">
      <c r="A303" s="1" t="s">
        <v>310</v>
      </c>
      <c r="B303" s="1" t="s">
        <v>822</v>
      </c>
      <c r="C303" s="2" t="s">
        <v>0</v>
      </c>
      <c r="D303" s="1" t="s">
        <v>1326</v>
      </c>
      <c r="E303" s="2"/>
      <c r="F303" s="22"/>
      <c r="G303" s="4" t="s">
        <v>7</v>
      </c>
      <c r="H303" s="112" t="s">
        <v>1558</v>
      </c>
      <c r="I303" s="4" t="s">
        <v>7</v>
      </c>
      <c r="J303" s="119" t="s">
        <v>1261</v>
      </c>
      <c r="K303" s="2" t="s">
        <v>0</v>
      </c>
      <c r="L303" s="22" t="s">
        <v>1411</v>
      </c>
      <c r="M303" s="2"/>
      <c r="N303" s="125"/>
      <c r="O303" s="126">
        <f>1*10^-13</f>
        <v>1E-13</v>
      </c>
      <c r="P303" s="146">
        <v>1E-13</v>
      </c>
      <c r="Q303" s="118" t="s">
        <v>1167</v>
      </c>
      <c r="R303" s="1"/>
      <c r="S303" s="1" t="s">
        <v>1049</v>
      </c>
      <c r="T303" s="1"/>
      <c r="U303" s="24" t="s">
        <v>691</v>
      </c>
      <c r="V303" s="116" t="b">
        <f>OR(B303=$V$1,D303=$V$1,B303="2"&amp;$V$1)</f>
        <v>0</v>
      </c>
      <c r="W303" s="1" t="b">
        <f>OR(J303=$W$1,L303=$W$1,N303=$W$1,J303="2"&amp;$W$1,L303="2"&amp;$W$1,N303="2"&amp;$W$1)</f>
        <v>1</v>
      </c>
      <c r="X303" s="25" t="s">
        <v>1607</v>
      </c>
      <c r="Y303" s="25" t="str">
        <f>B303&amp;" + "&amp;D303&amp;IF(F303&lt;&gt;""," + "&amp;F303,"")&amp;"-&gt;"&amp;J303&amp;" + "&amp;L303&amp;IF(N303&lt;&gt;""," + "&amp;N303,"")</f>
        <v>O2+ + NO2--&gt;NO2 + 2O</v>
      </c>
      <c r="Z303" s="29">
        <f>O303</f>
        <v>1E-13</v>
      </c>
    </row>
    <row r="304" spans="1:26" ht="22.5" hidden="1" customHeight="1" x14ac:dyDescent="0.25">
      <c r="A304" s="1" t="s">
        <v>311</v>
      </c>
      <c r="B304" s="1" t="s">
        <v>822</v>
      </c>
      <c r="C304" s="2" t="s">
        <v>0</v>
      </c>
      <c r="D304" s="1" t="s">
        <v>1327</v>
      </c>
      <c r="E304" s="2"/>
      <c r="F304" s="22"/>
      <c r="G304" s="4" t="s">
        <v>7</v>
      </c>
      <c r="H304" s="112" t="s">
        <v>1558</v>
      </c>
      <c r="I304" s="4" t="s">
        <v>7</v>
      </c>
      <c r="J304" s="119" t="s">
        <v>1263</v>
      </c>
      <c r="K304" s="2" t="s">
        <v>0</v>
      </c>
      <c r="L304" s="1" t="s">
        <v>649</v>
      </c>
      <c r="M304" s="2"/>
      <c r="N304" s="125"/>
      <c r="O304" s="126">
        <f>2*10^-13*(300/Tg)^0.5</f>
        <v>1.9900743804199784E-13</v>
      </c>
      <c r="P304" s="146">
        <v>1.9900743804199784E-13</v>
      </c>
      <c r="Q304" s="118" t="s">
        <v>1657</v>
      </c>
      <c r="R304" s="1"/>
      <c r="S304" s="1" t="s">
        <v>1049</v>
      </c>
      <c r="T304" s="1"/>
      <c r="U304" s="24" t="s">
        <v>691</v>
      </c>
      <c r="V304" s="116" t="b">
        <f>OR(B304=$V$1,D304=$V$1,B304="2"&amp;$V$1)</f>
        <v>0</v>
      </c>
      <c r="W304" s="1" t="b">
        <f>OR(J304=$W$1,L304=$W$1,N304=$W$1,J304="2"&amp;$W$1,L304="2"&amp;$W$1,N304="2"&amp;$W$1)</f>
        <v>0</v>
      </c>
      <c r="X304" s="25" t="s">
        <v>1607</v>
      </c>
      <c r="Y304" s="25" t="str">
        <f>B304&amp;" + "&amp;D304&amp;IF(F304&lt;&gt;""," + "&amp;F304,"")&amp;"-&gt;"&amp;J304&amp;" + "&amp;L304&amp;IF(N304&lt;&gt;""," + "&amp;N304,"")</f>
        <v>O2+ + NO3--&gt;NO3 + O2</v>
      </c>
      <c r="Z304" s="29">
        <f>O304</f>
        <v>1.9900743804199784E-13</v>
      </c>
    </row>
    <row r="305" spans="1:26" ht="22.5" hidden="1" customHeight="1" x14ac:dyDescent="0.25">
      <c r="A305" s="1" t="s">
        <v>312</v>
      </c>
      <c r="B305" s="1" t="s">
        <v>822</v>
      </c>
      <c r="C305" s="2" t="s">
        <v>0</v>
      </c>
      <c r="D305" s="1" t="s">
        <v>1327</v>
      </c>
      <c r="E305" s="2"/>
      <c r="F305" s="22"/>
      <c r="G305" s="4" t="s">
        <v>7</v>
      </c>
      <c r="H305" s="112" t="s">
        <v>1558</v>
      </c>
      <c r="I305" s="4" t="s">
        <v>7</v>
      </c>
      <c r="J305" s="119" t="s">
        <v>1263</v>
      </c>
      <c r="K305" s="2" t="s">
        <v>0</v>
      </c>
      <c r="L305" s="22" t="s">
        <v>1411</v>
      </c>
      <c r="M305" s="2"/>
      <c r="N305" s="125"/>
      <c r="O305" s="126">
        <f>1*10^-13</f>
        <v>1E-13</v>
      </c>
      <c r="P305" s="146">
        <v>1E-13</v>
      </c>
      <c r="Q305" s="118" t="s">
        <v>1167</v>
      </c>
      <c r="R305" s="1"/>
      <c r="S305" s="1" t="s">
        <v>1049</v>
      </c>
      <c r="T305" s="1"/>
      <c r="U305" s="24" t="s">
        <v>691</v>
      </c>
      <c r="V305" s="116" t="b">
        <f>OR(B305=$V$1,D305=$V$1,B305="2"&amp;$V$1)</f>
        <v>0</v>
      </c>
      <c r="W305" s="1" t="b">
        <f>OR(J305=$W$1,L305=$W$1,N305=$W$1,J305="2"&amp;$W$1,L305="2"&amp;$W$1,N305="2"&amp;$W$1)</f>
        <v>0</v>
      </c>
      <c r="X305" s="25" t="s">
        <v>1607</v>
      </c>
      <c r="Y305" s="25" t="str">
        <f>B305&amp;" + "&amp;D305&amp;IF(F305&lt;&gt;""," + "&amp;F305,"")&amp;"-&gt;"&amp;J305&amp;" + "&amp;L305&amp;IF(N305&lt;&gt;""," + "&amp;N305,"")</f>
        <v>O2+ + NO3--&gt;NO3 + 2O</v>
      </c>
      <c r="Z305" s="29">
        <f>O305</f>
        <v>1E-13</v>
      </c>
    </row>
    <row r="306" spans="1:26" ht="22.5" hidden="1" customHeight="1" x14ac:dyDescent="0.25">
      <c r="A306" s="1" t="s">
        <v>313</v>
      </c>
      <c r="B306" s="1" t="s">
        <v>822</v>
      </c>
      <c r="C306" s="2" t="s">
        <v>0</v>
      </c>
      <c r="D306" s="1" t="s">
        <v>1323</v>
      </c>
      <c r="E306" s="2"/>
      <c r="F306" s="22"/>
      <c r="G306" s="4" t="s">
        <v>7</v>
      </c>
      <c r="H306" s="112" t="s">
        <v>1558</v>
      </c>
      <c r="I306" s="4" t="s">
        <v>7</v>
      </c>
      <c r="J306" s="119" t="s">
        <v>653</v>
      </c>
      <c r="K306" s="2" t="s">
        <v>0</v>
      </c>
      <c r="L306" s="1" t="s">
        <v>649</v>
      </c>
      <c r="M306" s="2"/>
      <c r="N306" s="125"/>
      <c r="O306" s="126">
        <f>2*10^-13*(300/Tg)^0.5</f>
        <v>1.9900743804199784E-13</v>
      </c>
      <c r="P306" s="146">
        <v>1.9900743804199784E-13</v>
      </c>
      <c r="Q306" s="118" t="s">
        <v>1166</v>
      </c>
      <c r="R306" s="1"/>
      <c r="S306" s="1" t="s">
        <v>1049</v>
      </c>
      <c r="T306" s="1"/>
      <c r="U306" s="24" t="s">
        <v>703</v>
      </c>
      <c r="V306" s="116" t="b">
        <f>OR(B306=$V$1,D306=$V$1,B306="2"&amp;$V$1)</f>
        <v>0</v>
      </c>
      <c r="W306" s="1" t="b">
        <f>OR(J306=$W$1,L306=$W$1,N306=$W$1,J306="2"&amp;$W$1,L306="2"&amp;$W$1,N306="2"&amp;$W$1)</f>
        <v>0</v>
      </c>
      <c r="Y306" s="25" t="str">
        <f>B306&amp;" + "&amp;D306&amp;IF(F306&lt;&gt;""," + "&amp;F306,"")&amp;"-&gt;"&amp;J306&amp;" + "&amp;L306&amp;IF(N306&lt;&gt;""," + "&amp;N306,"")</f>
        <v>O2+ + H--&gt;H + O2</v>
      </c>
      <c r="Z306" s="29">
        <f>O306</f>
        <v>1.9900743804199784E-13</v>
      </c>
    </row>
    <row r="307" spans="1:26" ht="22.5" hidden="1" customHeight="1" x14ac:dyDescent="0.25">
      <c r="A307" s="1" t="s">
        <v>314</v>
      </c>
      <c r="B307" s="1" t="s">
        <v>822</v>
      </c>
      <c r="C307" s="2" t="s">
        <v>0</v>
      </c>
      <c r="D307" s="1" t="s">
        <v>1323</v>
      </c>
      <c r="E307" s="2"/>
      <c r="F307" s="22"/>
      <c r="G307" s="4" t="s">
        <v>7</v>
      </c>
      <c r="H307" s="112" t="s">
        <v>1558</v>
      </c>
      <c r="I307" s="4" t="s">
        <v>7</v>
      </c>
      <c r="J307" s="119" t="s">
        <v>653</v>
      </c>
      <c r="K307" s="2" t="s">
        <v>0</v>
      </c>
      <c r="L307" s="22" t="s">
        <v>1411</v>
      </c>
      <c r="M307" s="2"/>
      <c r="N307" s="125"/>
      <c r="O307" s="126">
        <f>1*10^-13</f>
        <v>1E-13</v>
      </c>
      <c r="P307" s="146">
        <v>1E-13</v>
      </c>
      <c r="Q307" s="118" t="s">
        <v>1167</v>
      </c>
      <c r="R307" s="1"/>
      <c r="S307" s="1" t="s">
        <v>1049</v>
      </c>
      <c r="T307" s="1"/>
      <c r="U307" s="24" t="s">
        <v>703</v>
      </c>
      <c r="V307" s="116" t="b">
        <f>OR(B307=$V$1,D307=$V$1,B307="2"&amp;$V$1)</f>
        <v>0</v>
      </c>
      <c r="W307" s="1" t="b">
        <f>OR(J307=$W$1,L307=$W$1,N307=$W$1,J307="2"&amp;$W$1,L307="2"&amp;$W$1,N307="2"&amp;$W$1)</f>
        <v>0</v>
      </c>
      <c r="Y307" s="25" t="str">
        <f>B307&amp;" + "&amp;D307&amp;IF(F307&lt;&gt;""," + "&amp;F307,"")&amp;"-&gt;"&amp;J307&amp;" + "&amp;L307&amp;IF(N307&lt;&gt;""," + "&amp;N307,"")</f>
        <v>O2+ + H--&gt;H + 2O</v>
      </c>
      <c r="Z307" s="29">
        <f>O307</f>
        <v>1E-13</v>
      </c>
    </row>
    <row r="308" spans="1:26" ht="22.5" hidden="1" customHeight="1" x14ac:dyDescent="0.25">
      <c r="A308" s="1" t="s">
        <v>315</v>
      </c>
      <c r="B308" s="1" t="s">
        <v>822</v>
      </c>
      <c r="C308" s="2" t="s">
        <v>0</v>
      </c>
      <c r="D308" s="1" t="s">
        <v>1332</v>
      </c>
      <c r="E308" s="2"/>
      <c r="F308" s="22"/>
      <c r="G308" s="4" t="s">
        <v>7</v>
      </c>
      <c r="H308" s="112" t="s">
        <v>1558</v>
      </c>
      <c r="I308" s="4" t="s">
        <v>7</v>
      </c>
      <c r="J308" s="119" t="s">
        <v>654</v>
      </c>
      <c r="K308" s="2" t="s">
        <v>0</v>
      </c>
      <c r="L308" s="1" t="s">
        <v>649</v>
      </c>
      <c r="M308" s="2"/>
      <c r="N308" s="125"/>
      <c r="O308" s="126">
        <f>2*10^-13*(300/Tg)^0.5</f>
        <v>1.9900743804199784E-13</v>
      </c>
      <c r="P308" s="146">
        <v>1.9900743804199784E-13</v>
      </c>
      <c r="Q308" s="118" t="s">
        <v>1166</v>
      </c>
      <c r="R308" s="1"/>
      <c r="S308" s="1" t="s">
        <v>1049</v>
      </c>
      <c r="T308" s="1"/>
      <c r="U308" s="24" t="s">
        <v>703</v>
      </c>
      <c r="V308" s="116" t="b">
        <f>OR(B308=$V$1,D308=$V$1,B308="2"&amp;$V$1)</f>
        <v>0</v>
      </c>
      <c r="W308" s="1" t="b">
        <f>OR(J308=$W$1,L308=$W$1,N308=$W$1,J308="2"&amp;$W$1,L308="2"&amp;$W$1,N308="2"&amp;$W$1)</f>
        <v>0</v>
      </c>
      <c r="Y308" s="25" t="str">
        <f>B308&amp;" + "&amp;D308&amp;IF(F308&lt;&gt;""," + "&amp;F308,"")&amp;"-&gt;"&amp;J308&amp;" + "&amp;L308&amp;IF(N308&lt;&gt;""," + "&amp;N308,"")</f>
        <v>O2+ + OH--&gt;OH + O2</v>
      </c>
      <c r="Z308" s="29">
        <f>O308</f>
        <v>1.9900743804199784E-13</v>
      </c>
    </row>
    <row r="309" spans="1:26" ht="22.5" hidden="1" customHeight="1" x14ac:dyDescent="0.25">
      <c r="A309" s="1" t="s">
        <v>316</v>
      </c>
      <c r="B309" s="1" t="s">
        <v>822</v>
      </c>
      <c r="C309" s="2" t="s">
        <v>0</v>
      </c>
      <c r="D309" s="1" t="s">
        <v>1332</v>
      </c>
      <c r="E309" s="2"/>
      <c r="F309" s="22"/>
      <c r="G309" s="4" t="s">
        <v>7</v>
      </c>
      <c r="H309" s="112" t="s">
        <v>1558</v>
      </c>
      <c r="I309" s="4" t="s">
        <v>7</v>
      </c>
      <c r="J309" s="119" t="s">
        <v>654</v>
      </c>
      <c r="K309" s="2" t="s">
        <v>0</v>
      </c>
      <c r="L309" s="22" t="s">
        <v>1411</v>
      </c>
      <c r="M309" s="2"/>
      <c r="N309" s="125"/>
      <c r="O309" s="126">
        <f>1*10^-13</f>
        <v>1E-13</v>
      </c>
      <c r="P309" s="146">
        <v>1E-13</v>
      </c>
      <c r="Q309" s="118" t="s">
        <v>1167</v>
      </c>
      <c r="R309" s="1"/>
      <c r="S309" s="1" t="s">
        <v>1049</v>
      </c>
      <c r="T309" s="1"/>
      <c r="U309" s="24" t="s">
        <v>703</v>
      </c>
      <c r="V309" s="116" t="b">
        <f>OR(B309=$V$1,D309=$V$1,B309="2"&amp;$V$1)</f>
        <v>0</v>
      </c>
      <c r="W309" s="1" t="b">
        <f>OR(J309=$W$1,L309=$W$1,N309=$W$1,J309="2"&amp;$W$1,L309="2"&amp;$W$1,N309="2"&amp;$W$1)</f>
        <v>0</v>
      </c>
      <c r="Y309" s="25" t="str">
        <f>B309&amp;" + "&amp;D309&amp;IF(F309&lt;&gt;""," + "&amp;F309,"")&amp;"-&gt;"&amp;J309&amp;" + "&amp;L309&amp;IF(N309&lt;&gt;""," + "&amp;N309,"")</f>
        <v>O2+ + OH--&gt;OH + 2O</v>
      </c>
      <c r="Z309" s="29">
        <f>O309</f>
        <v>1E-13</v>
      </c>
    </row>
    <row r="310" spans="1:26" ht="22.5" hidden="1" customHeight="1" x14ac:dyDescent="0.25">
      <c r="A310" s="1" t="s">
        <v>317</v>
      </c>
      <c r="B310" s="1" t="s">
        <v>825</v>
      </c>
      <c r="C310" s="2" t="s">
        <v>0</v>
      </c>
      <c r="D310" s="1" t="s">
        <v>1328</v>
      </c>
      <c r="E310" s="2"/>
      <c r="F310" s="22"/>
      <c r="G310" s="4" t="s">
        <v>7</v>
      </c>
      <c r="H310" s="112" t="s">
        <v>1558</v>
      </c>
      <c r="I310" s="4" t="s">
        <v>7</v>
      </c>
      <c r="J310" s="119" t="s">
        <v>639</v>
      </c>
      <c r="K310" s="2" t="s">
        <v>0</v>
      </c>
      <c r="L310" s="1" t="s">
        <v>1413</v>
      </c>
      <c r="M310" s="2"/>
      <c r="N310" s="128"/>
      <c r="O310" s="123">
        <f>1*10^-13</f>
        <v>1E-13</v>
      </c>
      <c r="P310" s="145">
        <v>1E-13</v>
      </c>
      <c r="Q310" s="118" t="s">
        <v>1167</v>
      </c>
      <c r="R310" s="1"/>
      <c r="S310" s="1" t="s">
        <v>1049</v>
      </c>
      <c r="T310" s="1"/>
      <c r="U310" s="24" t="s">
        <v>691</v>
      </c>
      <c r="V310" s="116" t="b">
        <f>OR(B310=$V$1,D310=$V$1,B310="2"&amp;$V$1)</f>
        <v>0</v>
      </c>
      <c r="W310" s="1" t="b">
        <f>OR(J310=$W$1,L310=$W$1,N310=$W$1,J310="2"&amp;$W$1,L310="2"&amp;$W$1,N310="2"&amp;$W$1)</f>
        <v>0</v>
      </c>
      <c r="X310" s="25" t="s">
        <v>1607</v>
      </c>
      <c r="Y310" s="25" t="str">
        <f>B310&amp;" + "&amp;D310&amp;IF(F310&lt;&gt;""," + "&amp;F310,"")&amp;"-&gt;"&amp;J310&amp;" + "&amp;L310&amp;IF(N310&lt;&gt;""," + "&amp;N310,"")</f>
        <v>O4+ + O--&gt;O + 2O2</v>
      </c>
      <c r="Z310" s="29">
        <f>O310</f>
        <v>1E-13</v>
      </c>
    </row>
    <row r="311" spans="1:26" ht="22.5" hidden="1" customHeight="1" x14ac:dyDescent="0.25">
      <c r="A311" s="1" t="s">
        <v>318</v>
      </c>
      <c r="B311" s="1" t="s">
        <v>825</v>
      </c>
      <c r="C311" s="2" t="s">
        <v>0</v>
      </c>
      <c r="D311" s="1" t="s">
        <v>1329</v>
      </c>
      <c r="E311" s="2"/>
      <c r="F311" s="22"/>
      <c r="G311" s="4" t="s">
        <v>7</v>
      </c>
      <c r="H311" s="112" t="s">
        <v>1558</v>
      </c>
      <c r="I311" s="4" t="s">
        <v>7</v>
      </c>
      <c r="J311" s="119" t="s">
        <v>1420</v>
      </c>
      <c r="K311" s="2"/>
      <c r="L311" s="1"/>
      <c r="M311" s="2"/>
      <c r="N311" s="128"/>
      <c r="O311" s="123">
        <f>1*10^-13</f>
        <v>1E-13</v>
      </c>
      <c r="P311" s="145">
        <v>1E-13</v>
      </c>
      <c r="Q311" s="118" t="s">
        <v>1167</v>
      </c>
      <c r="R311" s="1"/>
      <c r="S311" s="1" t="s">
        <v>1049</v>
      </c>
      <c r="T311" s="1"/>
      <c r="U311" s="24" t="s">
        <v>691</v>
      </c>
      <c r="V311" s="116" t="b">
        <f>OR(B311=$V$1,D311=$V$1,B311="2"&amp;$V$1)</f>
        <v>0</v>
      </c>
      <c r="W311" s="1" t="b">
        <f>OR(J311=$W$1,L311=$W$1,N311=$W$1,J311="2"&amp;$W$1,L311="2"&amp;$W$1,N311="2"&amp;$W$1)</f>
        <v>0</v>
      </c>
      <c r="X311" s="25" t="s">
        <v>1607</v>
      </c>
      <c r="Y311" s="25" t="str">
        <f>B311&amp;" + "&amp;D311&amp;IF(F311&lt;&gt;""," + "&amp;F311,"")&amp;"-&gt;"&amp;J311&amp;" + "&amp;L311&amp;IF(N311&lt;&gt;""," + "&amp;N311,"")</f>
        <v xml:space="preserve">O4+ + O2--&gt;3O2 + </v>
      </c>
      <c r="Z311" s="29">
        <f>O311</f>
        <v>1E-13</v>
      </c>
    </row>
    <row r="312" spans="1:26" ht="22.5" hidden="1" customHeight="1" x14ac:dyDescent="0.25">
      <c r="A312" s="1" t="s">
        <v>319</v>
      </c>
      <c r="B312" s="1" t="s">
        <v>825</v>
      </c>
      <c r="C312" s="2" t="s">
        <v>0</v>
      </c>
      <c r="D312" s="1" t="s">
        <v>1330</v>
      </c>
      <c r="E312" s="2"/>
      <c r="F312" s="22"/>
      <c r="G312" s="4" t="s">
        <v>7</v>
      </c>
      <c r="H312" s="112" t="s">
        <v>1558</v>
      </c>
      <c r="I312" s="4" t="s">
        <v>7</v>
      </c>
      <c r="J312" s="119" t="s">
        <v>638</v>
      </c>
      <c r="K312" s="2" t="s">
        <v>0</v>
      </c>
      <c r="L312" s="1" t="s">
        <v>1413</v>
      </c>
      <c r="M312" s="2"/>
      <c r="N312" s="128"/>
      <c r="O312" s="123">
        <f>1*10^-13</f>
        <v>1E-13</v>
      </c>
      <c r="P312" s="145">
        <v>1E-13</v>
      </c>
      <c r="Q312" s="118" t="s">
        <v>1167</v>
      </c>
      <c r="R312" s="1"/>
      <c r="S312" s="1" t="s">
        <v>1049</v>
      </c>
      <c r="T312" s="1"/>
      <c r="U312" s="24" t="s">
        <v>691</v>
      </c>
      <c r="V312" s="116" t="b">
        <f>OR(B312=$V$1,D312=$V$1,B312="2"&amp;$V$1)</f>
        <v>0</v>
      </c>
      <c r="W312" s="1" t="b">
        <f>OR(J312=$W$1,L312=$W$1,N312=$W$1,J312="2"&amp;$W$1,L312="2"&amp;$W$1,N312="2"&amp;$W$1)</f>
        <v>0</v>
      </c>
      <c r="X312" s="25" t="s">
        <v>1607</v>
      </c>
      <c r="Y312" s="25" t="str">
        <f>B312&amp;" + "&amp;D312&amp;IF(F312&lt;&gt;""," + "&amp;F312,"")&amp;"-&gt;"&amp;J312&amp;" + "&amp;L312&amp;IF(N312&lt;&gt;""," + "&amp;N312,"")</f>
        <v>O4+ + O3--&gt;O3 + 2O2</v>
      </c>
      <c r="Z312" s="29">
        <f>O312</f>
        <v>1E-13</v>
      </c>
    </row>
    <row r="313" spans="1:26" ht="22.5" hidden="1" customHeight="1" x14ac:dyDescent="0.25">
      <c r="A313" s="1" t="s">
        <v>320</v>
      </c>
      <c r="B313" s="1" t="s">
        <v>825</v>
      </c>
      <c r="C313" s="2" t="s">
        <v>0</v>
      </c>
      <c r="D313" s="1" t="s">
        <v>1331</v>
      </c>
      <c r="E313" s="2"/>
      <c r="F313" s="22"/>
      <c r="G313" s="4" t="s">
        <v>7</v>
      </c>
      <c r="H313" s="112" t="s">
        <v>1558</v>
      </c>
      <c r="I313" s="4" t="s">
        <v>7</v>
      </c>
      <c r="J313" s="119" t="s">
        <v>1408</v>
      </c>
      <c r="K313" s="2"/>
      <c r="L313" s="1"/>
      <c r="M313" s="2"/>
      <c r="N313" s="128"/>
      <c r="O313" s="123">
        <f>1*10^-13</f>
        <v>1E-13</v>
      </c>
      <c r="P313" s="145">
        <v>1E-13</v>
      </c>
      <c r="Q313" s="118" t="s">
        <v>1167</v>
      </c>
      <c r="R313" s="1"/>
      <c r="S313" s="1" t="s">
        <v>1049</v>
      </c>
      <c r="T313" s="1"/>
      <c r="U313" s="24" t="s">
        <v>691</v>
      </c>
      <c r="V313" s="116" t="b">
        <f>OR(B313=$V$1,D313=$V$1,B313="2"&amp;$V$1)</f>
        <v>0</v>
      </c>
      <c r="W313" s="1" t="b">
        <f>OR(J313=$W$1,L313=$W$1,N313=$W$1,J313="2"&amp;$W$1,L313="2"&amp;$W$1,N313="2"&amp;$W$1)</f>
        <v>0</v>
      </c>
      <c r="X313" s="25" t="s">
        <v>1607</v>
      </c>
      <c r="Y313" s="25" t="str">
        <f>B313&amp;" + "&amp;D313&amp;IF(F313&lt;&gt;""," + "&amp;F313,"")&amp;"-&gt;"&amp;J313&amp;" + "&amp;L313&amp;IF(N313&lt;&gt;""," + "&amp;N313,"")</f>
        <v xml:space="preserve">O4+ + O4--&gt;4O2 + </v>
      </c>
      <c r="Z313" s="29">
        <f>O313</f>
        <v>1E-13</v>
      </c>
    </row>
    <row r="314" spans="1:26" ht="22.5" hidden="1" customHeight="1" x14ac:dyDescent="0.25">
      <c r="A314" s="1" t="s">
        <v>321</v>
      </c>
      <c r="B314" s="1" t="s">
        <v>825</v>
      </c>
      <c r="C314" s="2" t="s">
        <v>0</v>
      </c>
      <c r="D314" s="1" t="s">
        <v>1324</v>
      </c>
      <c r="E314" s="2"/>
      <c r="F314" s="22"/>
      <c r="G314" s="4" t="s">
        <v>7</v>
      </c>
      <c r="H314" s="112" t="s">
        <v>1558</v>
      </c>
      <c r="I314" s="4" t="s">
        <v>7</v>
      </c>
      <c r="J314" s="119" t="s">
        <v>1259</v>
      </c>
      <c r="K314" s="2" t="s">
        <v>0</v>
      </c>
      <c r="L314" s="1" t="s">
        <v>1413</v>
      </c>
      <c r="M314" s="2"/>
      <c r="N314" s="128"/>
      <c r="O314" s="123">
        <f>1*10^-13</f>
        <v>1E-13</v>
      </c>
      <c r="P314" s="145">
        <v>1E-13</v>
      </c>
      <c r="Q314" s="118" t="s">
        <v>1167</v>
      </c>
      <c r="R314" s="1"/>
      <c r="S314" s="1" t="s">
        <v>1049</v>
      </c>
      <c r="T314" s="1"/>
      <c r="U314" s="24" t="s">
        <v>691</v>
      </c>
      <c r="V314" s="116" t="b">
        <f>OR(B314=$V$1,D314=$V$1,B314="2"&amp;$V$1)</f>
        <v>0</v>
      </c>
      <c r="W314" s="1" t="b">
        <f>OR(J314=$W$1,L314=$W$1,N314=$W$1,J314="2"&amp;$W$1,L314="2"&amp;$W$1,N314="2"&amp;$W$1)</f>
        <v>0</v>
      </c>
      <c r="X314" s="25" t="s">
        <v>1607</v>
      </c>
      <c r="Y314" s="25" t="str">
        <f>B314&amp;" + "&amp;D314&amp;IF(F314&lt;&gt;""," + "&amp;F314,"")&amp;"-&gt;"&amp;J314&amp;" + "&amp;L314&amp;IF(N314&lt;&gt;""," + "&amp;N314,"")</f>
        <v>O4+ + N2O--&gt;N2O + 2O2</v>
      </c>
      <c r="Z314" s="29">
        <f>O314</f>
        <v>1E-13</v>
      </c>
    </row>
    <row r="315" spans="1:26" ht="22.5" hidden="1" customHeight="1" x14ac:dyDescent="0.25">
      <c r="A315" s="1" t="s">
        <v>322</v>
      </c>
      <c r="B315" s="1" t="s">
        <v>825</v>
      </c>
      <c r="C315" s="2" t="s">
        <v>0</v>
      </c>
      <c r="D315" s="1" t="s">
        <v>1325</v>
      </c>
      <c r="E315" s="2"/>
      <c r="F315" s="22"/>
      <c r="G315" s="4" t="s">
        <v>7</v>
      </c>
      <c r="H315" s="112" t="s">
        <v>1558</v>
      </c>
      <c r="I315" s="4" t="s">
        <v>7</v>
      </c>
      <c r="J315" s="119" t="s">
        <v>688</v>
      </c>
      <c r="K315" s="2" t="s">
        <v>0</v>
      </c>
      <c r="L315" s="1" t="s">
        <v>1413</v>
      </c>
      <c r="M315" s="2"/>
      <c r="N315" s="128"/>
      <c r="O315" s="123">
        <f>1*10^-13</f>
        <v>1E-13</v>
      </c>
      <c r="P315" s="145">
        <v>1E-13</v>
      </c>
      <c r="Q315" s="118" t="s">
        <v>1167</v>
      </c>
      <c r="R315" s="1"/>
      <c r="S315" s="1" t="s">
        <v>1049</v>
      </c>
      <c r="T315" s="1"/>
      <c r="U315" s="24" t="s">
        <v>691</v>
      </c>
      <c r="V315" s="116" t="b">
        <f>OR(B315=$V$1,D315=$V$1,B315="2"&amp;$V$1)</f>
        <v>0</v>
      </c>
      <c r="W315" s="1" t="b">
        <f>OR(J315=$W$1,L315=$W$1,N315=$W$1,J315="2"&amp;$W$1,L315="2"&amp;$W$1,N315="2"&amp;$W$1)</f>
        <v>0</v>
      </c>
      <c r="X315" s="25" t="s">
        <v>1607</v>
      </c>
      <c r="Y315" s="25" t="str">
        <f>B315&amp;" + "&amp;D315&amp;IF(F315&lt;&gt;""," + "&amp;F315,"")&amp;"-&gt;"&amp;J315&amp;" + "&amp;L315&amp;IF(N315&lt;&gt;""," + "&amp;N315,"")</f>
        <v>O4+ + NO--&gt;NO + 2O2</v>
      </c>
      <c r="Z315" s="29">
        <f>O315</f>
        <v>1E-13</v>
      </c>
    </row>
    <row r="316" spans="1:26" ht="22.5" hidden="1" customHeight="1" x14ac:dyDescent="0.25">
      <c r="A316" s="1" t="s">
        <v>323</v>
      </c>
      <c r="B316" s="1" t="s">
        <v>825</v>
      </c>
      <c r="C316" s="2" t="s">
        <v>0</v>
      </c>
      <c r="D316" s="1" t="s">
        <v>1326</v>
      </c>
      <c r="E316" s="2"/>
      <c r="F316" s="22"/>
      <c r="G316" s="4" t="s">
        <v>7</v>
      </c>
      <c r="H316" s="112" t="s">
        <v>1558</v>
      </c>
      <c r="I316" s="4" t="s">
        <v>7</v>
      </c>
      <c r="J316" s="119" t="s">
        <v>1261</v>
      </c>
      <c r="K316" s="2" t="s">
        <v>0</v>
      </c>
      <c r="L316" s="1" t="s">
        <v>1413</v>
      </c>
      <c r="M316" s="2"/>
      <c r="N316" s="128"/>
      <c r="O316" s="123">
        <f>1*10^-13</f>
        <v>1E-13</v>
      </c>
      <c r="P316" s="145">
        <v>1E-13</v>
      </c>
      <c r="Q316" s="118" t="s">
        <v>1167</v>
      </c>
      <c r="R316" s="1"/>
      <c r="S316" s="1" t="s">
        <v>1049</v>
      </c>
      <c r="T316" s="1"/>
      <c r="U316" s="24" t="s">
        <v>691</v>
      </c>
      <c r="V316" s="116" t="b">
        <f>OR(B316=$V$1,D316=$V$1,B316="2"&amp;$V$1)</f>
        <v>0</v>
      </c>
      <c r="W316" s="1" t="b">
        <f>OR(J316=$W$1,L316=$W$1,N316=$W$1,J316="2"&amp;$W$1,L316="2"&amp;$W$1,N316="2"&amp;$W$1)</f>
        <v>1</v>
      </c>
      <c r="X316" s="25" t="s">
        <v>1607</v>
      </c>
      <c r="Y316" s="25" t="str">
        <f>B316&amp;" + "&amp;D316&amp;IF(F316&lt;&gt;""," + "&amp;F316,"")&amp;"-&gt;"&amp;J316&amp;" + "&amp;L316&amp;IF(N316&lt;&gt;""," + "&amp;N316,"")</f>
        <v>O4+ + NO2--&gt;NO2 + 2O2</v>
      </c>
      <c r="Z316" s="29">
        <f>O316</f>
        <v>1E-13</v>
      </c>
    </row>
    <row r="317" spans="1:26" ht="22.5" hidden="1" customHeight="1" x14ac:dyDescent="0.25">
      <c r="A317" s="1" t="s">
        <v>324</v>
      </c>
      <c r="B317" s="1" t="s">
        <v>825</v>
      </c>
      <c r="C317" s="2" t="s">
        <v>0</v>
      </c>
      <c r="D317" s="1" t="s">
        <v>1327</v>
      </c>
      <c r="E317" s="2"/>
      <c r="F317" s="22"/>
      <c r="G317" s="4" t="s">
        <v>7</v>
      </c>
      <c r="H317" s="112" t="s">
        <v>1558</v>
      </c>
      <c r="I317" s="4" t="s">
        <v>7</v>
      </c>
      <c r="J317" s="119" t="s">
        <v>1263</v>
      </c>
      <c r="K317" s="2" t="s">
        <v>0</v>
      </c>
      <c r="L317" s="1" t="s">
        <v>1413</v>
      </c>
      <c r="M317" s="2"/>
      <c r="N317" s="128"/>
      <c r="O317" s="123">
        <f>1*10^-13</f>
        <v>1E-13</v>
      </c>
      <c r="P317" s="145">
        <v>1E-13</v>
      </c>
      <c r="Q317" s="118" t="s">
        <v>1167</v>
      </c>
      <c r="R317" s="1"/>
      <c r="S317" s="1" t="s">
        <v>1049</v>
      </c>
      <c r="T317" s="1"/>
      <c r="U317" s="24" t="s">
        <v>691</v>
      </c>
      <c r="V317" s="116" t="b">
        <f>OR(B317=$V$1,D317=$V$1,B317="2"&amp;$V$1)</f>
        <v>0</v>
      </c>
      <c r="W317" s="1" t="b">
        <f>OR(J317=$W$1,L317=$W$1,N317=$W$1,J317="2"&amp;$W$1,L317="2"&amp;$W$1,N317="2"&amp;$W$1)</f>
        <v>0</v>
      </c>
      <c r="X317" s="25" t="s">
        <v>1607</v>
      </c>
      <c r="Y317" s="25" t="str">
        <f>B317&amp;" + "&amp;D317&amp;IF(F317&lt;&gt;""," + "&amp;F317,"")&amp;"-&gt;"&amp;J317&amp;" + "&amp;L317&amp;IF(N317&lt;&gt;""," + "&amp;N317,"")</f>
        <v>O4+ + NO3--&gt;NO3 + 2O2</v>
      </c>
      <c r="Z317" s="29">
        <f>O317</f>
        <v>1E-13</v>
      </c>
    </row>
    <row r="318" spans="1:26" ht="22.5" hidden="1" customHeight="1" x14ac:dyDescent="0.25">
      <c r="A318" s="1" t="s">
        <v>325</v>
      </c>
      <c r="B318" s="1" t="s">
        <v>825</v>
      </c>
      <c r="C318" s="2" t="s">
        <v>0</v>
      </c>
      <c r="D318" s="1" t="s">
        <v>1323</v>
      </c>
      <c r="E318" s="2"/>
      <c r="F318" s="22"/>
      <c r="G318" s="4" t="s">
        <v>7</v>
      </c>
      <c r="H318" s="112" t="s">
        <v>1558</v>
      </c>
      <c r="I318" s="4" t="s">
        <v>7</v>
      </c>
      <c r="J318" s="119" t="s">
        <v>653</v>
      </c>
      <c r="K318" s="2" t="s">
        <v>0</v>
      </c>
      <c r="L318" s="1" t="s">
        <v>1413</v>
      </c>
      <c r="M318" s="2"/>
      <c r="N318" s="128"/>
      <c r="O318" s="123">
        <f>1*10^-13</f>
        <v>1E-13</v>
      </c>
      <c r="P318" s="145">
        <v>1E-13</v>
      </c>
      <c r="Q318" s="118" t="s">
        <v>1167</v>
      </c>
      <c r="R318" s="1"/>
      <c r="S318" s="1" t="s">
        <v>1049</v>
      </c>
      <c r="T318" s="1"/>
      <c r="U318" s="24" t="s">
        <v>703</v>
      </c>
      <c r="V318" s="116" t="b">
        <f>OR(B318=$V$1,D318=$V$1,B318="2"&amp;$V$1)</f>
        <v>0</v>
      </c>
      <c r="W318" s="1" t="b">
        <f>OR(J318=$W$1,L318=$W$1,N318=$W$1,J318="2"&amp;$W$1,L318="2"&amp;$W$1,N318="2"&amp;$W$1)</f>
        <v>0</v>
      </c>
      <c r="Y318" s="25" t="str">
        <f>B318&amp;" + "&amp;D318&amp;IF(F318&lt;&gt;""," + "&amp;F318,"")&amp;"-&gt;"&amp;J318&amp;" + "&amp;L318&amp;IF(N318&lt;&gt;""," + "&amp;N318,"")</f>
        <v>O4+ + H--&gt;H + 2O2</v>
      </c>
      <c r="Z318" s="29">
        <f>O318</f>
        <v>1E-13</v>
      </c>
    </row>
    <row r="319" spans="1:26" ht="22.5" hidden="1" customHeight="1" x14ac:dyDescent="0.25">
      <c r="A319" s="1" t="s">
        <v>326</v>
      </c>
      <c r="B319" s="1" t="s">
        <v>825</v>
      </c>
      <c r="C319" s="2" t="s">
        <v>0</v>
      </c>
      <c r="D319" s="1" t="s">
        <v>1332</v>
      </c>
      <c r="E319" s="2"/>
      <c r="F319" s="22"/>
      <c r="G319" s="4" t="s">
        <v>7</v>
      </c>
      <c r="H319" s="112" t="s">
        <v>1558</v>
      </c>
      <c r="I319" s="4" t="s">
        <v>7</v>
      </c>
      <c r="J319" s="119" t="s">
        <v>654</v>
      </c>
      <c r="K319" s="2" t="s">
        <v>0</v>
      </c>
      <c r="L319" s="1" t="s">
        <v>1413</v>
      </c>
      <c r="M319" s="2"/>
      <c r="N319" s="128"/>
      <c r="O319" s="123">
        <f>1*10^-13</f>
        <v>1E-13</v>
      </c>
      <c r="P319" s="145">
        <v>1E-13</v>
      </c>
      <c r="Q319" s="118" t="s">
        <v>1167</v>
      </c>
      <c r="R319" s="1"/>
      <c r="S319" s="1" t="s">
        <v>1049</v>
      </c>
      <c r="T319" s="1"/>
      <c r="U319" s="24" t="s">
        <v>703</v>
      </c>
      <c r="V319" s="116" t="b">
        <f>OR(B319=$V$1,D319=$V$1,B319="2"&amp;$V$1)</f>
        <v>0</v>
      </c>
      <c r="W319" s="1" t="b">
        <f>OR(J319=$W$1,L319=$W$1,N319=$W$1,J319="2"&amp;$W$1,L319="2"&amp;$W$1,N319="2"&amp;$W$1)</f>
        <v>0</v>
      </c>
      <c r="Y319" s="25" t="str">
        <f>B319&amp;" + "&amp;D319&amp;IF(F319&lt;&gt;""," + "&amp;F319,"")&amp;"-&gt;"&amp;J319&amp;" + "&amp;L319&amp;IF(N319&lt;&gt;""," + "&amp;N319,"")</f>
        <v>O4+ + OH--&gt;OH + 2O2</v>
      </c>
      <c r="Z319" s="29">
        <f>O319</f>
        <v>1E-13</v>
      </c>
    </row>
    <row r="320" spans="1:26" ht="22.5" hidden="1" customHeight="1" x14ac:dyDescent="0.25">
      <c r="A320" s="1"/>
      <c r="B320" s="1" t="s">
        <v>645</v>
      </c>
      <c r="C320" s="2" t="s">
        <v>0</v>
      </c>
      <c r="D320" s="1" t="s">
        <v>636</v>
      </c>
      <c r="E320" s="2" t="s">
        <v>0</v>
      </c>
      <c r="F320" s="1" t="s">
        <v>1565</v>
      </c>
      <c r="G320" s="4" t="s">
        <v>7</v>
      </c>
      <c r="H320" s="112" t="s">
        <v>1630</v>
      </c>
      <c r="I320" s="4" t="s">
        <v>7</v>
      </c>
      <c r="J320" s="119" t="s">
        <v>831</v>
      </c>
      <c r="K320" s="2" t="s">
        <v>0</v>
      </c>
      <c r="L320" s="22" t="s">
        <v>1566</v>
      </c>
      <c r="M320" s="22"/>
      <c r="N320" s="125"/>
      <c r="O320" s="126">
        <f>1*10^-41*NM</f>
        <v>2.7000000000000005E-16</v>
      </c>
      <c r="P320" s="146">
        <v>2.7000000000000005E-16</v>
      </c>
      <c r="Q320" s="118" t="s">
        <v>1090</v>
      </c>
      <c r="R320" s="1"/>
      <c r="S320" s="1"/>
      <c r="T320" s="1"/>
      <c r="U320" s="24" t="s">
        <v>691</v>
      </c>
      <c r="V320" s="116" t="b">
        <f>OR(B320=$V$1,D320=$V$1,B320="2"&amp;$V$1)</f>
        <v>0</v>
      </c>
      <c r="W320" s="1" t="b">
        <f>OR(J320=$W$1,L320=$W$1,N320=$W$1,J320="2"&amp;$W$1,L320="2"&amp;$W$1,N320="2"&amp;$W$1)</f>
        <v>0</v>
      </c>
      <c r="X320" s="25" t="s">
        <v>1607</v>
      </c>
      <c r="Y320" s="25" t="str">
        <f>B320&amp;" + "&amp;D320&amp;IF(F320&lt;&gt;""," + "&amp;F320,"")&amp;"-&gt;"&amp;J320&amp;" + "&amp;L320&amp;IF(N320&lt;&gt;""," + "&amp;N320,"")</f>
        <v>N+ + N + N2-&gt;N2+ + O2</v>
      </c>
      <c r="Z320" s="29">
        <f>O320</f>
        <v>2.7000000000000005E-16</v>
      </c>
    </row>
    <row r="321" spans="1:26" ht="22.5" customHeight="1" x14ac:dyDescent="0.25">
      <c r="A321" s="1" t="s">
        <v>560</v>
      </c>
      <c r="B321" s="1" t="s">
        <v>639</v>
      </c>
      <c r="C321" s="2" t="s">
        <v>0</v>
      </c>
      <c r="D321" s="22" t="s">
        <v>740</v>
      </c>
      <c r="E321" s="2"/>
      <c r="F321" s="22"/>
      <c r="G321" s="4" t="s">
        <v>7</v>
      </c>
      <c r="H321" s="112" t="s">
        <v>1559</v>
      </c>
      <c r="I321" s="4" t="s">
        <v>7</v>
      </c>
      <c r="J321" s="119" t="s">
        <v>637</v>
      </c>
      <c r="K321" s="2" t="s">
        <v>0</v>
      </c>
      <c r="L321" s="22" t="s">
        <v>739</v>
      </c>
      <c r="M321" s="2"/>
      <c r="N321" s="125"/>
      <c r="O321" s="126">
        <f>1.7*10^-17</f>
        <v>1.7000000000000002E-17</v>
      </c>
      <c r="P321" s="146">
        <v>1.7000000000000002E-17</v>
      </c>
      <c r="Q321" s="118" t="s">
        <v>1194</v>
      </c>
      <c r="R321" s="1"/>
      <c r="S321" s="119" t="s">
        <v>1291</v>
      </c>
      <c r="T321" s="119"/>
      <c r="U321" s="24" t="s">
        <v>1034</v>
      </c>
      <c r="V321" s="116" t="b">
        <f>OR(B321=$V$1,D321=$V$1,B321="2"&amp;$V$1)</f>
        <v>0</v>
      </c>
      <c r="W321" s="1" t="b">
        <f>OR(J321=$W$1,L321=$W$1,N321=$W$1,J321="2"&amp;$W$1,L321="2"&amp;$W$1,N321="2"&amp;$W$1)</f>
        <v>1</v>
      </c>
      <c r="Y321" s="25" t="str">
        <f>B321&amp;" + "&amp;D321&amp;IF(F321&lt;&gt;""," + "&amp;F321,"")&amp;"-&gt;"&amp;J321&amp;" + "&amp;L321&amp;IF(N321&lt;&gt;""," + "&amp;N321,"")</f>
        <v>O + NO3-&gt;O2 + NO2</v>
      </c>
      <c r="Z321" s="29">
        <f>O321</f>
        <v>1.7000000000000002E-17</v>
      </c>
    </row>
    <row r="322" spans="1:26" ht="22.5" customHeight="1" x14ac:dyDescent="0.25">
      <c r="A322" s="1" t="s">
        <v>564</v>
      </c>
      <c r="B322" s="1" t="s">
        <v>639</v>
      </c>
      <c r="C322" s="2" t="s">
        <v>0</v>
      </c>
      <c r="D322" s="22" t="s">
        <v>841</v>
      </c>
      <c r="E322" s="2"/>
      <c r="F322" s="22"/>
      <c r="G322" s="4" t="s">
        <v>7</v>
      </c>
      <c r="H322" s="112" t="s">
        <v>1559</v>
      </c>
      <c r="I322" s="4" t="s">
        <v>7</v>
      </c>
      <c r="J322" s="119" t="s">
        <v>654</v>
      </c>
      <c r="K322" s="2" t="s">
        <v>0</v>
      </c>
      <c r="L322" s="1" t="s">
        <v>649</v>
      </c>
      <c r="M322" s="2"/>
      <c r="N322" s="125"/>
      <c r="O322" s="130">
        <f>8.3*10^-17*EXP(-500/Tg)</f>
        <v>1.5937512246002037E-17</v>
      </c>
      <c r="P322" s="148">
        <v>1.5937512246002037E-17</v>
      </c>
      <c r="Q322" s="118" t="s">
        <v>1198</v>
      </c>
      <c r="R322" s="1"/>
      <c r="S322" s="1" t="s">
        <v>1049</v>
      </c>
      <c r="T322" s="1"/>
      <c r="U322" s="24" t="s">
        <v>691</v>
      </c>
      <c r="V322" s="116" t="b">
        <f>OR(B322=$V$1,D322=$V$1,B322="2"&amp;$V$1)</f>
        <v>0</v>
      </c>
      <c r="W322" s="1" t="b">
        <f>OR(J322=$W$1,L322=$W$1,N322=$W$1,J322="2"&amp;$W$1,L322="2"&amp;$W$1,N322="2"&amp;$W$1)</f>
        <v>0</v>
      </c>
      <c r="Y322" s="25" t="str">
        <f>B322&amp;" + "&amp;D322&amp;IF(F322&lt;&gt;""," + "&amp;F322,"")&amp;"-&gt;"&amp;J322&amp;" + "&amp;L322&amp;IF(N322&lt;&gt;""," + "&amp;N322,"")</f>
        <v>O + HO2-&gt;OH + O2</v>
      </c>
      <c r="Z322" s="29">
        <f>O322</f>
        <v>1.5937512246002037E-17</v>
      </c>
    </row>
    <row r="323" spans="1:26" ht="22.5" hidden="1" customHeight="1" x14ac:dyDescent="0.25">
      <c r="A323" s="1" t="s">
        <v>129</v>
      </c>
      <c r="B323" s="1" t="s">
        <v>675</v>
      </c>
      <c r="C323" s="2" t="s">
        <v>0</v>
      </c>
      <c r="D323" s="22" t="s">
        <v>649</v>
      </c>
      <c r="E323" s="2"/>
      <c r="F323" s="1"/>
      <c r="G323" s="4" t="s">
        <v>7</v>
      </c>
      <c r="H323" s="112" t="s">
        <v>1557</v>
      </c>
      <c r="I323" s="4" t="s">
        <v>7</v>
      </c>
      <c r="J323" s="119" t="s">
        <v>1264</v>
      </c>
      <c r="K323" s="2" t="s">
        <v>0</v>
      </c>
      <c r="L323" s="22" t="s">
        <v>639</v>
      </c>
      <c r="M323" s="22"/>
      <c r="N323" s="125"/>
      <c r="O323" s="126">
        <f>2.7*10^-16</f>
        <v>2.7E-16</v>
      </c>
      <c r="P323" s="146">
        <v>2.7E-16</v>
      </c>
      <c r="Q323" s="118" t="s">
        <v>1107</v>
      </c>
      <c r="R323" s="1"/>
      <c r="S323" s="1" t="s">
        <v>1049</v>
      </c>
      <c r="T323" s="1"/>
      <c r="U323" s="24" t="s">
        <v>691</v>
      </c>
      <c r="V323" s="116" t="b">
        <f>OR(B323=$V$1,D323=$V$1,B323="2"&amp;$V$1)</f>
        <v>0</v>
      </c>
      <c r="W323" s="1" t="b">
        <f>OR(J323=$W$1,L323=$W$1,N323=$W$1,J323="2"&amp;$W$1,L323="2"&amp;$W$1,N323="2"&amp;$W$1)</f>
        <v>0</v>
      </c>
      <c r="X323" s="25" t="s">
        <v>1607</v>
      </c>
      <c r="Y323" s="25" t="str">
        <f>B323&amp;" + "&amp;D323&amp;IF(F323&lt;&gt;""," + "&amp;F323,"")&amp;"-&gt;"&amp;J323&amp;" + "&amp;L323&amp;IF(N323&lt;&gt;""," + "&amp;N323,"")</f>
        <v>N+ + O2-&gt;NO+ + O</v>
      </c>
      <c r="Z323" s="29">
        <f>O323</f>
        <v>2.7E-16</v>
      </c>
    </row>
    <row r="324" spans="1:26" ht="22.5" hidden="1" customHeight="1" x14ac:dyDescent="0.25">
      <c r="A324" s="1" t="s">
        <v>136</v>
      </c>
      <c r="B324" s="1" t="s">
        <v>675</v>
      </c>
      <c r="C324" s="2" t="s">
        <v>0</v>
      </c>
      <c r="D324" s="3" t="s">
        <v>641</v>
      </c>
      <c r="E324" s="2"/>
      <c r="F324" s="1"/>
      <c r="G324" s="4" t="s">
        <v>7</v>
      </c>
      <c r="H324" s="112" t="s">
        <v>1557</v>
      </c>
      <c r="I324" s="4" t="s">
        <v>7</v>
      </c>
      <c r="J324" s="119" t="s">
        <v>1264</v>
      </c>
      <c r="K324" s="2" t="s">
        <v>0</v>
      </c>
      <c r="L324" s="22" t="s">
        <v>699</v>
      </c>
      <c r="M324" s="22"/>
      <c r="N324" s="125"/>
      <c r="O324" s="126">
        <f>2.1*10^-16</f>
        <v>2.1000000000000001E-16</v>
      </c>
      <c r="P324" s="146">
        <v>2.1000000000000001E-16</v>
      </c>
      <c r="Q324" s="118" t="s">
        <v>1095</v>
      </c>
      <c r="R324" s="1"/>
      <c r="S324" s="1" t="s">
        <v>1049</v>
      </c>
      <c r="T324" s="1"/>
      <c r="U324" s="24" t="s">
        <v>807</v>
      </c>
      <c r="V324" s="116" t="b">
        <f>OR(B324=$V$1,D324=$V$1,B324="2"&amp;$V$1)</f>
        <v>0</v>
      </c>
      <c r="W324" s="1" t="b">
        <f>OR(J324=$W$1,L324=$W$1,N324=$W$1,J324="2"&amp;$W$1,L324="2"&amp;$W$1,N324="2"&amp;$W$1)</f>
        <v>0</v>
      </c>
      <c r="Y324" s="25" t="str">
        <f>B324&amp;" + "&amp;D324&amp;IF(F324&lt;&gt;""," + "&amp;F324,"")&amp;"-&gt;"&amp;J324&amp;" + "&amp;L324&amp;IF(N324&lt;&gt;""," + "&amp;N324,"")</f>
        <v>N+ + H2O-&gt;NO+ + H2</v>
      </c>
      <c r="Z324" s="29">
        <f>O324</f>
        <v>2.1000000000000001E-16</v>
      </c>
    </row>
    <row r="325" spans="1:26" ht="22.5" hidden="1" customHeight="1" x14ac:dyDescent="0.25">
      <c r="A325" s="1" t="s">
        <v>130</v>
      </c>
      <c r="B325" s="1" t="s">
        <v>675</v>
      </c>
      <c r="C325" s="2" t="s">
        <v>0</v>
      </c>
      <c r="D325" s="22" t="s">
        <v>649</v>
      </c>
      <c r="E325" s="2"/>
      <c r="F325" s="1"/>
      <c r="G325" s="4" t="s">
        <v>7</v>
      </c>
      <c r="H325" s="112" t="s">
        <v>1557</v>
      </c>
      <c r="I325" s="4" t="s">
        <v>7</v>
      </c>
      <c r="J325" s="119" t="s">
        <v>650</v>
      </c>
      <c r="K325" s="2" t="s">
        <v>0</v>
      </c>
      <c r="L325" s="22" t="s">
        <v>688</v>
      </c>
      <c r="M325" s="22"/>
      <c r="N325" s="125"/>
      <c r="O325" s="126">
        <f>2.8*10^-17</f>
        <v>2.7999999999999999E-17</v>
      </c>
      <c r="P325" s="146">
        <v>2.7999999999999999E-17</v>
      </c>
      <c r="Q325" s="118" t="s">
        <v>1092</v>
      </c>
      <c r="R325" s="1"/>
      <c r="S325" s="1" t="s">
        <v>1049</v>
      </c>
      <c r="T325" s="1"/>
      <c r="U325" s="24" t="s">
        <v>691</v>
      </c>
      <c r="V325" s="116" t="b">
        <f>OR(B325=$V$1,D325=$V$1,B325="2"&amp;$V$1)</f>
        <v>0</v>
      </c>
      <c r="W325" s="1" t="b">
        <f>OR(J325=$W$1,L325=$W$1,N325=$W$1,J325="2"&amp;$W$1,L325="2"&amp;$W$1,N325="2"&amp;$W$1)</f>
        <v>0</v>
      </c>
      <c r="X325" s="25" t="s">
        <v>1607</v>
      </c>
      <c r="Y325" s="25" t="str">
        <f>B325&amp;" + "&amp;D325&amp;IF(F325&lt;&gt;""," + "&amp;F325,"")&amp;"-&gt;"&amp;J325&amp;" + "&amp;L325&amp;IF(N325&lt;&gt;""," + "&amp;N325,"")</f>
        <v>N+ + O2-&gt;O+ + NO</v>
      </c>
      <c r="Z325" s="29">
        <f>O325</f>
        <v>2.7999999999999999E-17</v>
      </c>
    </row>
    <row r="326" spans="1:26" ht="22.5" hidden="1" customHeight="1" x14ac:dyDescent="0.25">
      <c r="A326" s="1" t="s">
        <v>123</v>
      </c>
      <c r="B326" s="1" t="s">
        <v>675</v>
      </c>
      <c r="C326" s="2" t="s">
        <v>0</v>
      </c>
      <c r="D326" s="1" t="s">
        <v>688</v>
      </c>
      <c r="E326" s="2"/>
      <c r="F326" s="3"/>
      <c r="G326" s="4" t="s">
        <v>7</v>
      </c>
      <c r="H326" s="112" t="s">
        <v>1557</v>
      </c>
      <c r="I326" s="4" t="s">
        <v>7</v>
      </c>
      <c r="J326" s="119" t="s">
        <v>1401</v>
      </c>
      <c r="K326" s="2" t="s">
        <v>0</v>
      </c>
      <c r="L326" s="22" t="s">
        <v>639</v>
      </c>
      <c r="M326" s="22"/>
      <c r="N326" s="125"/>
      <c r="O326" s="126">
        <f>3*10^-18</f>
        <v>3.0000000000000002E-18</v>
      </c>
      <c r="P326" s="146">
        <v>8.3300000000000005E-17</v>
      </c>
      <c r="Q326" s="118" t="s">
        <v>1111</v>
      </c>
      <c r="R326" s="1"/>
      <c r="S326" s="1" t="s">
        <v>1049</v>
      </c>
      <c r="T326" s="1"/>
      <c r="U326" s="24" t="s">
        <v>691</v>
      </c>
      <c r="V326" s="116" t="b">
        <f>OR(B326=$V$1,D326=$V$1,B326="2"&amp;$V$1)</f>
        <v>0</v>
      </c>
      <c r="W326" s="1" t="b">
        <f>OR(J326=$W$1,L326=$W$1,N326=$W$1,J326="2"&amp;$W$1,L326="2"&amp;$W$1,N326="2"&amp;$W$1)</f>
        <v>0</v>
      </c>
      <c r="X326" s="25" t="s">
        <v>1607</v>
      </c>
      <c r="Y326" s="25" t="str">
        <f>B326&amp;" + "&amp;D326&amp;IF(F326&lt;&gt;""," + "&amp;F326,"")&amp;"-&gt;"&amp;J326&amp;" + "&amp;L326&amp;IF(N326&lt;&gt;""," + "&amp;N326,"")</f>
        <v>N+ + NO-&gt;N2+ + O</v>
      </c>
      <c r="Z326" s="29">
        <f>O326</f>
        <v>3.0000000000000002E-18</v>
      </c>
    </row>
    <row r="327" spans="1:26" ht="22.5" hidden="1" customHeight="1" x14ac:dyDescent="0.25">
      <c r="A327" s="1" t="s">
        <v>124</v>
      </c>
      <c r="B327" s="1" t="s">
        <v>675</v>
      </c>
      <c r="C327" s="2" t="s">
        <v>0</v>
      </c>
      <c r="D327" s="1" t="s">
        <v>688</v>
      </c>
      <c r="E327" s="2"/>
      <c r="F327" s="3"/>
      <c r="G327" s="4" t="s">
        <v>7</v>
      </c>
      <c r="H327" s="112" t="s">
        <v>1557</v>
      </c>
      <c r="I327" s="4" t="s">
        <v>7</v>
      </c>
      <c r="J327" s="119" t="s">
        <v>650</v>
      </c>
      <c r="K327" s="2" t="s">
        <v>0</v>
      </c>
      <c r="L327" s="22" t="s">
        <v>689</v>
      </c>
      <c r="M327" s="22"/>
      <c r="N327" s="125"/>
      <c r="O327" s="126">
        <f>1*10^-18</f>
        <v>1.0000000000000001E-18</v>
      </c>
      <c r="P327" s="146">
        <v>1.0000000000000001E-18</v>
      </c>
      <c r="Q327" s="118" t="s">
        <v>1072</v>
      </c>
      <c r="R327" s="1"/>
      <c r="S327" s="1" t="s">
        <v>1049</v>
      </c>
      <c r="T327" s="1"/>
      <c r="U327" s="24" t="s">
        <v>691</v>
      </c>
      <c r="V327" s="116" t="b">
        <f>OR(B327=$V$1,D327=$V$1,B327="2"&amp;$V$1)</f>
        <v>0</v>
      </c>
      <c r="W327" s="1" t="b">
        <f>OR(J327=$W$1,L327=$W$1,N327=$W$1,J327="2"&amp;$W$1,L327="2"&amp;$W$1,N327="2"&amp;$W$1)</f>
        <v>0</v>
      </c>
      <c r="X327" s="25" t="s">
        <v>1607</v>
      </c>
      <c r="Y327" s="25" t="str">
        <f>B327&amp;" + "&amp;D327&amp;IF(F327&lt;&gt;""," + "&amp;F327,"")&amp;"-&gt;"&amp;J327&amp;" + "&amp;L327&amp;IF(N327&lt;&gt;""," + "&amp;N327,"")</f>
        <v>N+ + NO-&gt;O+ + N2</v>
      </c>
      <c r="Z327" s="29">
        <f>O327</f>
        <v>1.0000000000000001E-18</v>
      </c>
    </row>
    <row r="328" spans="1:26" ht="22.5" hidden="1" customHeight="1" x14ac:dyDescent="0.25">
      <c r="A328" s="1" t="s">
        <v>148</v>
      </c>
      <c r="B328" s="1" t="s">
        <v>1384</v>
      </c>
      <c r="C328" s="2" t="s">
        <v>0</v>
      </c>
      <c r="D328" s="22" t="s">
        <v>639</v>
      </c>
      <c r="E328" s="2"/>
      <c r="F328" s="22"/>
      <c r="G328" s="4" t="s">
        <v>7</v>
      </c>
      <c r="H328" s="112" t="s">
        <v>1557</v>
      </c>
      <c r="I328" s="4" t="s">
        <v>7</v>
      </c>
      <c r="J328" s="119" t="s">
        <v>650</v>
      </c>
      <c r="K328" s="2" t="s">
        <v>0</v>
      </c>
      <c r="L328" s="1" t="s">
        <v>689</v>
      </c>
      <c r="M328" s="2"/>
      <c r="N328" s="125"/>
      <c r="O328" s="126">
        <f>1*10^-17*(300/Tg)^0.5</f>
        <v>9.9503719020998923E-18</v>
      </c>
      <c r="P328" s="146">
        <v>9.9503719020998923E-18</v>
      </c>
      <c r="Q328" s="118" t="s">
        <v>1099</v>
      </c>
      <c r="R328" s="1"/>
      <c r="S328" s="1" t="s">
        <v>1049</v>
      </c>
      <c r="T328" s="1"/>
      <c r="U328" s="24" t="s">
        <v>691</v>
      </c>
      <c r="V328" s="116" t="b">
        <f>OR(B328=$V$1,D328=$V$1,B328="2"&amp;$V$1)</f>
        <v>0</v>
      </c>
      <c r="W328" s="1" t="b">
        <f>OR(J328=$W$1,L328=$W$1,N328=$W$1,J328="2"&amp;$W$1,L328="2"&amp;$W$1,N328="2"&amp;$W$1)</f>
        <v>0</v>
      </c>
      <c r="X328" s="25" t="s">
        <v>1607</v>
      </c>
      <c r="Y328" s="25" t="str">
        <f>B328&amp;" + "&amp;D328&amp;IF(F328&lt;&gt;""," + "&amp;F328,"")&amp;"-&gt;"&amp;J328&amp;" + "&amp;L328&amp;IF(N328&lt;&gt;""," + "&amp;N328,"")</f>
        <v>N2+ + O-&gt;O+ + N2</v>
      </c>
      <c r="Z328" s="29">
        <f>O328</f>
        <v>9.9503719020998923E-18</v>
      </c>
    </row>
    <row r="329" spans="1:26" ht="22.5" hidden="1" customHeight="1" x14ac:dyDescent="0.25">
      <c r="A329" s="1" t="s">
        <v>58</v>
      </c>
      <c r="B329" s="1" t="s">
        <v>1053</v>
      </c>
      <c r="C329" s="2" t="s">
        <v>0</v>
      </c>
      <c r="D329" s="22" t="s">
        <v>675</v>
      </c>
      <c r="E329" s="2"/>
      <c r="F329" s="22"/>
      <c r="G329" s="4" t="s">
        <v>7</v>
      </c>
      <c r="H329" s="112" t="s">
        <v>1560</v>
      </c>
      <c r="I329" s="4" t="s">
        <v>7</v>
      </c>
      <c r="J329" s="119" t="s">
        <v>636</v>
      </c>
      <c r="K329" s="2" t="s">
        <v>0</v>
      </c>
      <c r="L329" s="1" t="s">
        <v>1</v>
      </c>
      <c r="M329" s="2"/>
      <c r="N329" s="115"/>
      <c r="O329" s="123">
        <f>1*10^-31*(Tg/Te)^4.5</f>
        <v>9.7887937560127973E-40</v>
      </c>
      <c r="P329" s="145">
        <v>9.7887937560127973E-40</v>
      </c>
      <c r="Q329" s="118" t="s">
        <v>1063</v>
      </c>
      <c r="R329" s="1"/>
      <c r="S329" s="1" t="s">
        <v>1049</v>
      </c>
      <c r="T329" s="1"/>
      <c r="U329" s="24" t="s">
        <v>690</v>
      </c>
      <c r="V329" s="116" t="b">
        <f>OR(B329=$V$1,D329=$V$1,B329="2"&amp;$V$1)</f>
        <v>0</v>
      </c>
      <c r="W329" s="1" t="b">
        <f>OR(J329=$W$1,L329=$W$1,N329=$W$1,J329="2"&amp;$W$1,L329="2"&amp;$W$1,N329="2"&amp;$W$1)</f>
        <v>0</v>
      </c>
      <c r="Y329" s="25" t="str">
        <f>B329&amp;" + "&amp;D329&amp;IF(F329&lt;&gt;""," + "&amp;F329,"")&amp;"-&gt;"&amp;J329&amp;" + "&amp;L329&amp;IF(N329&lt;&gt;""," + "&amp;N329,"")</f>
        <v>2e + N+-&gt;N + e</v>
      </c>
      <c r="Z329" s="29">
        <f>O329</f>
        <v>9.7887937560127973E-40</v>
      </c>
    </row>
    <row r="330" spans="1:26" ht="22.5" hidden="1" customHeight="1" x14ac:dyDescent="0.25">
      <c r="A330" s="1" t="s">
        <v>337</v>
      </c>
      <c r="B330" s="1" t="s">
        <v>831</v>
      </c>
      <c r="C330" s="2" t="s">
        <v>0</v>
      </c>
      <c r="D330" s="1" t="s">
        <v>1324</v>
      </c>
      <c r="E330" s="2"/>
      <c r="F330" s="22"/>
      <c r="G330" s="4" t="s">
        <v>7</v>
      </c>
      <c r="H330" s="112" t="s">
        <v>1558</v>
      </c>
      <c r="I330" s="4" t="s">
        <v>7</v>
      </c>
      <c r="J330" s="119" t="s">
        <v>1259</v>
      </c>
      <c r="K330" s="2" t="s">
        <v>0</v>
      </c>
      <c r="L330" s="1" t="s">
        <v>689</v>
      </c>
      <c r="M330" s="2"/>
      <c r="N330" s="125"/>
      <c r="O330" s="126">
        <f>2*10^-13*(300/Tg)^0.5</f>
        <v>1.9900743804199784E-13</v>
      </c>
      <c r="P330" s="146">
        <v>1.9900743804199784E-13</v>
      </c>
      <c r="Q330" s="118" t="s">
        <v>1166</v>
      </c>
      <c r="R330" s="1"/>
      <c r="S330" s="1" t="s">
        <v>1049</v>
      </c>
      <c r="T330" s="1"/>
      <c r="U330" s="24" t="s">
        <v>690</v>
      </c>
      <c r="V330" s="116" t="b">
        <f>OR(B330=$V$1,D330=$V$1,B330="2"&amp;$V$1)</f>
        <v>0</v>
      </c>
      <c r="W330" s="1" t="b">
        <f>OR(J330=$W$1,L330=$W$1,N330=$W$1,J330="2"&amp;$W$1,L330="2"&amp;$W$1,N330="2"&amp;$W$1)</f>
        <v>0</v>
      </c>
      <c r="Y330" s="25" t="str">
        <f>B330&amp;" + "&amp;D330&amp;IF(F330&lt;&gt;""," + "&amp;F330,"")&amp;"-&gt;"&amp;J330&amp;" + "&amp;L330&amp;IF(N330&lt;&gt;""," + "&amp;N330,"")</f>
        <v>N2+ + N2O--&gt;N2O + N2</v>
      </c>
      <c r="Z330" s="29">
        <f>O330</f>
        <v>1.9900743804199784E-13</v>
      </c>
    </row>
    <row r="331" spans="1:26" ht="22.5" hidden="1" customHeight="1" x14ac:dyDescent="0.25">
      <c r="A331" s="1" t="s">
        <v>338</v>
      </c>
      <c r="B331" s="1" t="s">
        <v>831</v>
      </c>
      <c r="C331" s="2" t="s">
        <v>0</v>
      </c>
      <c r="D331" s="1" t="s">
        <v>1324</v>
      </c>
      <c r="E331" s="2"/>
      <c r="F331" s="22"/>
      <c r="G331" s="4" t="s">
        <v>7</v>
      </c>
      <c r="H331" s="112" t="s">
        <v>1558</v>
      </c>
      <c r="I331" s="4" t="s">
        <v>7</v>
      </c>
      <c r="J331" s="119" t="s">
        <v>1259</v>
      </c>
      <c r="K331" s="2" t="s">
        <v>0</v>
      </c>
      <c r="L331" s="22" t="s">
        <v>1416</v>
      </c>
      <c r="M331" s="2"/>
      <c r="N331" s="125"/>
      <c r="O331" s="126">
        <f>1*10^-13</f>
        <v>1E-13</v>
      </c>
      <c r="P331" s="146">
        <v>1E-13</v>
      </c>
      <c r="Q331" s="118" t="s">
        <v>1167</v>
      </c>
      <c r="R331" s="1"/>
      <c r="S331" s="1" t="s">
        <v>1049</v>
      </c>
      <c r="T331" s="1"/>
      <c r="U331" s="24" t="s">
        <v>690</v>
      </c>
      <c r="V331" s="116" t="b">
        <f>OR(B331=$V$1,D331=$V$1,B331="2"&amp;$V$1)</f>
        <v>0</v>
      </c>
      <c r="W331" s="1" t="b">
        <f>OR(J331=$W$1,L331=$W$1,N331=$W$1,J331="2"&amp;$W$1,L331="2"&amp;$W$1,N331="2"&amp;$W$1)</f>
        <v>0</v>
      </c>
      <c r="Y331" s="25" t="str">
        <f>B331&amp;" + "&amp;D331&amp;IF(F331&lt;&gt;""," + "&amp;F331,"")&amp;"-&gt;"&amp;J331&amp;" + "&amp;L331&amp;IF(N331&lt;&gt;""," + "&amp;N331,"")</f>
        <v>N2+ + N2O--&gt;N2O + 2N</v>
      </c>
      <c r="Z331" s="29">
        <f>O331</f>
        <v>1E-13</v>
      </c>
    </row>
    <row r="332" spans="1:26" ht="22.5" hidden="1" customHeight="1" x14ac:dyDescent="0.25">
      <c r="A332" s="1" t="s">
        <v>339</v>
      </c>
      <c r="B332" s="1" t="s">
        <v>831</v>
      </c>
      <c r="C332" s="2" t="s">
        <v>0</v>
      </c>
      <c r="D332" s="1" t="s">
        <v>1325</v>
      </c>
      <c r="E332" s="2"/>
      <c r="F332" s="22"/>
      <c r="G332" s="4" t="s">
        <v>7</v>
      </c>
      <c r="H332" s="112" t="s">
        <v>1558</v>
      </c>
      <c r="I332" s="4" t="s">
        <v>7</v>
      </c>
      <c r="J332" s="119" t="s">
        <v>688</v>
      </c>
      <c r="K332" s="2" t="s">
        <v>0</v>
      </c>
      <c r="L332" s="1" t="s">
        <v>689</v>
      </c>
      <c r="M332" s="2"/>
      <c r="N332" s="125"/>
      <c r="O332" s="126">
        <f>2*10^-13*(300/Tg)^0.5</f>
        <v>1.9900743804199784E-13</v>
      </c>
      <c r="P332" s="146">
        <v>1.9900743804199784E-13</v>
      </c>
      <c r="Q332" s="118" t="s">
        <v>1166</v>
      </c>
      <c r="R332" s="1"/>
      <c r="S332" s="1" t="s">
        <v>1049</v>
      </c>
      <c r="T332" s="1"/>
      <c r="U332" s="24" t="s">
        <v>756</v>
      </c>
      <c r="V332" s="116" t="b">
        <f>OR(B332=$V$1,D332=$V$1,B332="2"&amp;$V$1)</f>
        <v>0</v>
      </c>
      <c r="W332" s="1" t="b">
        <f>OR(J332=$W$1,L332=$W$1,N332=$W$1,J332="2"&amp;$W$1,L332="2"&amp;$W$1,N332="2"&amp;$W$1)</f>
        <v>0</v>
      </c>
      <c r="Y332" s="25" t="str">
        <f>B332&amp;" + "&amp;D332&amp;IF(F332&lt;&gt;""," + "&amp;F332,"")&amp;"-&gt;"&amp;J332&amp;" + "&amp;L332&amp;IF(N332&lt;&gt;""," + "&amp;N332,"")</f>
        <v>N2+ + NO--&gt;NO + N2</v>
      </c>
      <c r="Z332" s="29">
        <f>O332</f>
        <v>1.9900743804199784E-13</v>
      </c>
    </row>
    <row r="333" spans="1:26" ht="22.5" hidden="1" customHeight="1" x14ac:dyDescent="0.25">
      <c r="A333" s="1" t="s">
        <v>340</v>
      </c>
      <c r="B333" s="1" t="s">
        <v>831</v>
      </c>
      <c r="C333" s="2" t="s">
        <v>0</v>
      </c>
      <c r="D333" s="1" t="s">
        <v>1325</v>
      </c>
      <c r="E333" s="2"/>
      <c r="F333" s="22"/>
      <c r="G333" s="4" t="s">
        <v>7</v>
      </c>
      <c r="H333" s="112" t="s">
        <v>1558</v>
      </c>
      <c r="I333" s="4" t="s">
        <v>7</v>
      </c>
      <c r="J333" s="119" t="s">
        <v>688</v>
      </c>
      <c r="K333" s="2" t="s">
        <v>0</v>
      </c>
      <c r="L333" s="22" t="s">
        <v>1416</v>
      </c>
      <c r="M333" s="2"/>
      <c r="N333" s="125"/>
      <c r="O333" s="126">
        <f>1*10^-13</f>
        <v>1E-13</v>
      </c>
      <c r="P333" s="146">
        <v>1E-13</v>
      </c>
      <c r="Q333" s="118" t="s">
        <v>1167</v>
      </c>
      <c r="R333" s="1"/>
      <c r="S333" s="1" t="s">
        <v>1049</v>
      </c>
      <c r="T333" s="1"/>
      <c r="U333" s="24" t="s">
        <v>690</v>
      </c>
      <c r="V333" s="116" t="b">
        <f>OR(B333=$V$1,D333=$V$1,B333="2"&amp;$V$1)</f>
        <v>0</v>
      </c>
      <c r="W333" s="1" t="b">
        <f>OR(J333=$W$1,L333=$W$1,N333=$W$1,J333="2"&amp;$W$1,L333="2"&amp;$W$1,N333="2"&amp;$W$1)</f>
        <v>0</v>
      </c>
      <c r="Y333" s="25" t="str">
        <f>B333&amp;" + "&amp;D333&amp;IF(F333&lt;&gt;""," + "&amp;F333,"")&amp;"-&gt;"&amp;J333&amp;" + "&amp;L333&amp;IF(N333&lt;&gt;""," + "&amp;N333,"")</f>
        <v>N2+ + NO--&gt;NO + 2N</v>
      </c>
      <c r="Z333" s="29">
        <f>O333</f>
        <v>1E-13</v>
      </c>
    </row>
    <row r="334" spans="1:26" ht="22.5" hidden="1" customHeight="1" x14ac:dyDescent="0.25">
      <c r="A334" s="1" t="s">
        <v>341</v>
      </c>
      <c r="B334" s="1" t="s">
        <v>831</v>
      </c>
      <c r="C334" s="2" t="s">
        <v>0</v>
      </c>
      <c r="D334" s="1" t="s">
        <v>1326</v>
      </c>
      <c r="E334" s="2"/>
      <c r="F334" s="22"/>
      <c r="G334" s="4" t="s">
        <v>7</v>
      </c>
      <c r="H334" s="112" t="s">
        <v>1558</v>
      </c>
      <c r="I334" s="4" t="s">
        <v>7</v>
      </c>
      <c r="J334" s="119" t="s">
        <v>1261</v>
      </c>
      <c r="K334" s="2" t="s">
        <v>0</v>
      </c>
      <c r="L334" s="1" t="s">
        <v>689</v>
      </c>
      <c r="M334" s="2"/>
      <c r="N334" s="125"/>
      <c r="O334" s="126">
        <f>2*10^-13*(300/Tg)^0.5</f>
        <v>1.9900743804199784E-13</v>
      </c>
      <c r="P334" s="146">
        <v>1.9900743804199784E-13</v>
      </c>
      <c r="Q334" s="118" t="s">
        <v>1166</v>
      </c>
      <c r="R334" s="1"/>
      <c r="S334" s="1" t="s">
        <v>1049</v>
      </c>
      <c r="T334" s="1"/>
      <c r="U334" s="24" t="s">
        <v>756</v>
      </c>
      <c r="V334" s="116" t="b">
        <f>OR(B334=$V$1,D334=$V$1,B334="2"&amp;$V$1)</f>
        <v>0</v>
      </c>
      <c r="W334" s="1" t="b">
        <f>OR(J334=$W$1,L334=$W$1,N334=$W$1,J334="2"&amp;$W$1,L334="2"&amp;$W$1,N334="2"&amp;$W$1)</f>
        <v>1</v>
      </c>
      <c r="Y334" s="25" t="str">
        <f>B334&amp;" + "&amp;D334&amp;IF(F334&lt;&gt;""," + "&amp;F334,"")&amp;"-&gt;"&amp;J334&amp;" + "&amp;L334&amp;IF(N334&lt;&gt;""," + "&amp;N334,"")</f>
        <v>N2+ + NO2--&gt;NO2 + N2</v>
      </c>
      <c r="Z334" s="29">
        <f>O334</f>
        <v>1.9900743804199784E-13</v>
      </c>
    </row>
    <row r="335" spans="1:26" ht="22.5" hidden="1" customHeight="1" x14ac:dyDescent="0.25">
      <c r="A335" s="1" t="s">
        <v>342</v>
      </c>
      <c r="B335" s="1" t="s">
        <v>831</v>
      </c>
      <c r="C335" s="2" t="s">
        <v>0</v>
      </c>
      <c r="D335" s="1" t="s">
        <v>1326</v>
      </c>
      <c r="E335" s="2"/>
      <c r="F335" s="22"/>
      <c r="G335" s="4" t="s">
        <v>7</v>
      </c>
      <c r="H335" s="112" t="s">
        <v>1558</v>
      </c>
      <c r="I335" s="4" t="s">
        <v>7</v>
      </c>
      <c r="J335" s="119" t="s">
        <v>1261</v>
      </c>
      <c r="K335" s="2" t="s">
        <v>0</v>
      </c>
      <c r="L335" s="22" t="s">
        <v>1416</v>
      </c>
      <c r="M335" s="2"/>
      <c r="N335" s="125"/>
      <c r="O335" s="126">
        <f>1*10^-13</f>
        <v>1E-13</v>
      </c>
      <c r="P335" s="146">
        <v>1E-13</v>
      </c>
      <c r="Q335" s="118" t="s">
        <v>1167</v>
      </c>
      <c r="R335" s="1"/>
      <c r="S335" s="1" t="s">
        <v>1049</v>
      </c>
      <c r="T335" s="1"/>
      <c r="U335" s="24" t="s">
        <v>690</v>
      </c>
      <c r="V335" s="116" t="b">
        <f>OR(B335=$V$1,D335=$V$1,B335="2"&amp;$V$1)</f>
        <v>0</v>
      </c>
      <c r="W335" s="1" t="b">
        <f>OR(J335=$W$1,L335=$W$1,N335=$W$1,J335="2"&amp;$W$1,L335="2"&amp;$W$1,N335="2"&amp;$W$1)</f>
        <v>1</v>
      </c>
      <c r="Y335" s="25" t="str">
        <f>B335&amp;" + "&amp;D335&amp;IF(F335&lt;&gt;""," + "&amp;F335,"")&amp;"-&gt;"&amp;J335&amp;" + "&amp;L335&amp;IF(N335&lt;&gt;""," + "&amp;N335,"")</f>
        <v>N2+ + NO2--&gt;NO2 + 2N</v>
      </c>
      <c r="Z335" s="29">
        <f>O335</f>
        <v>1E-13</v>
      </c>
    </row>
    <row r="336" spans="1:26" ht="22.5" hidden="1" customHeight="1" x14ac:dyDescent="0.25">
      <c r="A336" s="1" t="s">
        <v>343</v>
      </c>
      <c r="B336" s="1" t="s">
        <v>831</v>
      </c>
      <c r="C336" s="2" t="s">
        <v>0</v>
      </c>
      <c r="D336" s="1" t="s">
        <v>1327</v>
      </c>
      <c r="E336" s="2"/>
      <c r="F336" s="22"/>
      <c r="G336" s="4" t="s">
        <v>7</v>
      </c>
      <c r="H336" s="112" t="s">
        <v>1558</v>
      </c>
      <c r="I336" s="4" t="s">
        <v>7</v>
      </c>
      <c r="J336" s="119" t="s">
        <v>1263</v>
      </c>
      <c r="K336" s="2" t="s">
        <v>0</v>
      </c>
      <c r="L336" s="1" t="s">
        <v>689</v>
      </c>
      <c r="M336" s="2"/>
      <c r="N336" s="125"/>
      <c r="O336" s="126">
        <f>2*10^-13*(300/Tg)^0.5</f>
        <v>1.9900743804199784E-13</v>
      </c>
      <c r="P336" s="146">
        <v>1.9900743804199784E-13</v>
      </c>
      <c r="Q336" s="118" t="s">
        <v>1166</v>
      </c>
      <c r="R336" s="1"/>
      <c r="S336" s="1" t="s">
        <v>1049</v>
      </c>
      <c r="T336" s="1"/>
      <c r="U336" s="24" t="s">
        <v>690</v>
      </c>
      <c r="V336" s="116" t="b">
        <f>OR(B336=$V$1,D336=$V$1,B336="2"&amp;$V$1)</f>
        <v>0</v>
      </c>
      <c r="W336" s="1" t="b">
        <f>OR(J336=$W$1,L336=$W$1,N336=$W$1,J336="2"&amp;$W$1,L336="2"&amp;$W$1,N336="2"&amp;$W$1)</f>
        <v>0</v>
      </c>
      <c r="Y336" s="25" t="str">
        <f>B336&amp;" + "&amp;D336&amp;IF(F336&lt;&gt;""," + "&amp;F336,"")&amp;"-&gt;"&amp;J336&amp;" + "&amp;L336&amp;IF(N336&lt;&gt;""," + "&amp;N336,"")</f>
        <v>N2+ + NO3--&gt;NO3 + N2</v>
      </c>
      <c r="Z336" s="29">
        <f>O336</f>
        <v>1.9900743804199784E-13</v>
      </c>
    </row>
    <row r="337" spans="1:26" ht="22.5" hidden="1" customHeight="1" x14ac:dyDescent="0.25">
      <c r="A337" s="1" t="s">
        <v>344</v>
      </c>
      <c r="B337" s="1" t="s">
        <v>831</v>
      </c>
      <c r="C337" s="2" t="s">
        <v>0</v>
      </c>
      <c r="D337" s="1" t="s">
        <v>1327</v>
      </c>
      <c r="E337" s="2"/>
      <c r="F337" s="22"/>
      <c r="G337" s="4" t="s">
        <v>7</v>
      </c>
      <c r="H337" s="112" t="s">
        <v>1558</v>
      </c>
      <c r="I337" s="4" t="s">
        <v>7</v>
      </c>
      <c r="J337" s="119" t="s">
        <v>1263</v>
      </c>
      <c r="K337" s="2" t="s">
        <v>0</v>
      </c>
      <c r="L337" s="22" t="s">
        <v>1416</v>
      </c>
      <c r="M337" s="2"/>
      <c r="N337" s="125"/>
      <c r="O337" s="126">
        <f>1*10^-13</f>
        <v>1E-13</v>
      </c>
      <c r="P337" s="146">
        <v>1E-13</v>
      </c>
      <c r="Q337" s="118" t="s">
        <v>1167</v>
      </c>
      <c r="R337" s="1"/>
      <c r="S337" s="1" t="s">
        <v>1049</v>
      </c>
      <c r="T337" s="1"/>
      <c r="U337" s="24" t="s">
        <v>690</v>
      </c>
      <c r="V337" s="116" t="b">
        <f>OR(B337=$V$1,D337=$V$1,B337="2"&amp;$V$1)</f>
        <v>0</v>
      </c>
      <c r="W337" s="1" t="b">
        <f>OR(J337=$W$1,L337=$W$1,N337=$W$1,J337="2"&amp;$W$1,L337="2"&amp;$W$1,N337="2"&amp;$W$1)</f>
        <v>0</v>
      </c>
      <c r="Y337" s="25" t="str">
        <f>B337&amp;" + "&amp;D337&amp;IF(F337&lt;&gt;""," + "&amp;F337,"")&amp;"-&gt;"&amp;J337&amp;" + "&amp;L337&amp;IF(N337&lt;&gt;""," + "&amp;N337,"")</f>
        <v>N2+ + NO3--&gt;NO3 + 2N</v>
      </c>
      <c r="Z337" s="29">
        <f>O337</f>
        <v>1E-13</v>
      </c>
    </row>
    <row r="338" spans="1:26" ht="22.5" hidden="1" customHeight="1" x14ac:dyDescent="0.25">
      <c r="A338" s="1" t="s">
        <v>345</v>
      </c>
      <c r="B338" s="1" t="s">
        <v>831</v>
      </c>
      <c r="C338" s="2" t="s">
        <v>0</v>
      </c>
      <c r="D338" s="1" t="s">
        <v>1328</v>
      </c>
      <c r="E338" s="2"/>
      <c r="F338" s="22"/>
      <c r="G338" s="4" t="s">
        <v>7</v>
      </c>
      <c r="H338" s="112" t="s">
        <v>1558</v>
      </c>
      <c r="I338" s="4" t="s">
        <v>7</v>
      </c>
      <c r="J338" s="119" t="s">
        <v>639</v>
      </c>
      <c r="K338" s="2" t="s">
        <v>0</v>
      </c>
      <c r="L338" s="22" t="s">
        <v>1416</v>
      </c>
      <c r="M338" s="2"/>
      <c r="N338" s="125"/>
      <c r="O338" s="126">
        <f>1*10^-13</f>
        <v>1E-13</v>
      </c>
      <c r="P338" s="146">
        <v>1E-13</v>
      </c>
      <c r="Q338" s="118" t="s">
        <v>1167</v>
      </c>
      <c r="R338" s="1"/>
      <c r="S338" s="1" t="s">
        <v>1049</v>
      </c>
      <c r="T338" s="1"/>
      <c r="U338" s="24" t="s">
        <v>690</v>
      </c>
      <c r="V338" s="116" t="b">
        <f>OR(B338=$V$1,D338=$V$1,B338="2"&amp;$V$1)</f>
        <v>0</v>
      </c>
      <c r="W338" s="1" t="b">
        <f>OR(J338=$W$1,L338=$W$1,N338=$W$1,J338="2"&amp;$W$1,L338="2"&amp;$W$1,N338="2"&amp;$W$1)</f>
        <v>0</v>
      </c>
      <c r="Y338" s="25" t="str">
        <f>B338&amp;" + "&amp;D338&amp;IF(F338&lt;&gt;""," + "&amp;F338,"")&amp;"-&gt;"&amp;J338&amp;" + "&amp;L338&amp;IF(N338&lt;&gt;""," + "&amp;N338,"")</f>
        <v>N2+ + O--&gt;O + 2N</v>
      </c>
      <c r="Z338" s="29">
        <f>O338</f>
        <v>1E-13</v>
      </c>
    </row>
    <row r="339" spans="1:26" ht="22.5" hidden="1" customHeight="1" x14ac:dyDescent="0.25">
      <c r="A339" s="1" t="s">
        <v>346</v>
      </c>
      <c r="B339" s="1" t="s">
        <v>831</v>
      </c>
      <c r="C339" s="2" t="s">
        <v>0</v>
      </c>
      <c r="D339" s="1" t="s">
        <v>1328</v>
      </c>
      <c r="E339" s="2"/>
      <c r="F339" s="22"/>
      <c r="G339" s="4" t="s">
        <v>7</v>
      </c>
      <c r="H339" s="112" t="s">
        <v>1558</v>
      </c>
      <c r="I339" s="4" t="s">
        <v>7</v>
      </c>
      <c r="J339" s="119" t="s">
        <v>639</v>
      </c>
      <c r="K339" s="2" t="s">
        <v>0</v>
      </c>
      <c r="L339" s="1" t="s">
        <v>689</v>
      </c>
      <c r="M339" s="2"/>
      <c r="N339" s="125"/>
      <c r="O339" s="126">
        <f>2*10^-13*(300/Tg)^0.5</f>
        <v>1.9900743804199784E-13</v>
      </c>
      <c r="P339" s="146">
        <v>1.9900743804199784E-13</v>
      </c>
      <c r="Q339" s="118" t="s">
        <v>1166</v>
      </c>
      <c r="R339" s="1"/>
      <c r="S339" s="1" t="s">
        <v>1049</v>
      </c>
      <c r="T339" s="1"/>
      <c r="U339" s="24" t="s">
        <v>690</v>
      </c>
      <c r="V339" s="116" t="b">
        <f>OR(B339=$V$1,D339=$V$1,B339="2"&amp;$V$1)</f>
        <v>0</v>
      </c>
      <c r="W339" s="1" t="b">
        <f>OR(J339=$W$1,L339=$W$1,N339=$W$1,J339="2"&amp;$W$1,L339="2"&amp;$W$1,N339="2"&amp;$W$1)</f>
        <v>0</v>
      </c>
      <c r="Y339" s="25" t="str">
        <f>B339&amp;" + "&amp;D339&amp;IF(F339&lt;&gt;""," + "&amp;F339,"")&amp;"-&gt;"&amp;J339&amp;" + "&amp;L339&amp;IF(N339&lt;&gt;""," + "&amp;N339,"")</f>
        <v>N2+ + O--&gt;O + N2</v>
      </c>
      <c r="Z339" s="29">
        <f>O339</f>
        <v>1.9900743804199784E-13</v>
      </c>
    </row>
    <row r="340" spans="1:26" ht="22.5" hidden="1" customHeight="1" x14ac:dyDescent="0.25">
      <c r="A340" s="1" t="s">
        <v>347</v>
      </c>
      <c r="B340" s="1" t="s">
        <v>831</v>
      </c>
      <c r="C340" s="2" t="s">
        <v>0</v>
      </c>
      <c r="D340" s="1" t="s">
        <v>1329</v>
      </c>
      <c r="E340" s="2"/>
      <c r="F340" s="22"/>
      <c r="G340" s="4" t="s">
        <v>7</v>
      </c>
      <c r="H340" s="112" t="s">
        <v>1558</v>
      </c>
      <c r="I340" s="4" t="s">
        <v>7</v>
      </c>
      <c r="J340" s="119" t="s">
        <v>637</v>
      </c>
      <c r="K340" s="2" t="s">
        <v>0</v>
      </c>
      <c r="L340" s="22" t="s">
        <v>1416</v>
      </c>
      <c r="M340" s="2"/>
      <c r="N340" s="125"/>
      <c r="O340" s="126">
        <f>1*10^-13</f>
        <v>1E-13</v>
      </c>
      <c r="P340" s="146">
        <v>1E-13</v>
      </c>
      <c r="Q340" s="118" t="s">
        <v>1167</v>
      </c>
      <c r="R340" s="1"/>
      <c r="S340" s="1" t="s">
        <v>1049</v>
      </c>
      <c r="T340" s="1"/>
      <c r="U340" s="24" t="s">
        <v>690</v>
      </c>
      <c r="V340" s="116" t="b">
        <f>OR(B340=$V$1,D340=$V$1,B340="2"&amp;$V$1)</f>
        <v>0</v>
      </c>
      <c r="W340" s="1" t="b">
        <f>OR(J340=$W$1,L340=$W$1,N340=$W$1,J340="2"&amp;$W$1,L340="2"&amp;$W$1,N340="2"&amp;$W$1)</f>
        <v>0</v>
      </c>
      <c r="Y340" s="25" t="str">
        <f>B340&amp;" + "&amp;D340&amp;IF(F340&lt;&gt;""," + "&amp;F340,"")&amp;"-&gt;"&amp;J340&amp;" + "&amp;L340&amp;IF(N340&lt;&gt;""," + "&amp;N340,"")</f>
        <v>N2+ + O2--&gt;O2 + 2N</v>
      </c>
      <c r="Z340" s="29">
        <f>O340</f>
        <v>1E-13</v>
      </c>
    </row>
    <row r="341" spans="1:26" ht="22.5" hidden="1" customHeight="1" x14ac:dyDescent="0.25">
      <c r="A341" s="1" t="s">
        <v>348</v>
      </c>
      <c r="B341" s="1" t="s">
        <v>831</v>
      </c>
      <c r="C341" s="2" t="s">
        <v>0</v>
      </c>
      <c r="D341" s="1" t="s">
        <v>1329</v>
      </c>
      <c r="E341" s="2"/>
      <c r="F341" s="22"/>
      <c r="G341" s="4" t="s">
        <v>7</v>
      </c>
      <c r="H341" s="112" t="s">
        <v>1558</v>
      </c>
      <c r="I341" s="4" t="s">
        <v>7</v>
      </c>
      <c r="J341" s="119" t="s">
        <v>637</v>
      </c>
      <c r="K341" s="2" t="s">
        <v>0</v>
      </c>
      <c r="L341" s="1" t="s">
        <v>689</v>
      </c>
      <c r="M341" s="2"/>
      <c r="N341" s="125"/>
      <c r="O341" s="126">
        <f>2*10^-13*(300/Tg)^0.5</f>
        <v>1.9900743804199784E-13</v>
      </c>
      <c r="P341" s="146">
        <v>1.9900743804199784E-13</v>
      </c>
      <c r="Q341" s="118" t="s">
        <v>1166</v>
      </c>
      <c r="R341" s="1"/>
      <c r="S341" s="1" t="s">
        <v>1049</v>
      </c>
      <c r="T341" s="1"/>
      <c r="U341" s="24" t="s">
        <v>756</v>
      </c>
      <c r="V341" s="116" t="b">
        <f>OR(B341=$V$1,D341=$V$1,B341="2"&amp;$V$1)</f>
        <v>0</v>
      </c>
      <c r="W341" s="1" t="b">
        <f>OR(J341=$W$1,L341=$W$1,N341=$W$1,J341="2"&amp;$W$1,L341="2"&amp;$W$1,N341="2"&amp;$W$1)</f>
        <v>0</v>
      </c>
      <c r="Y341" s="25" t="str">
        <f>B341&amp;" + "&amp;D341&amp;IF(F341&lt;&gt;""," + "&amp;F341,"")&amp;"-&gt;"&amp;J341&amp;" + "&amp;L341&amp;IF(N341&lt;&gt;""," + "&amp;N341,"")</f>
        <v>N2+ + O2--&gt;O2 + N2</v>
      </c>
      <c r="Z341" s="29">
        <f>O341</f>
        <v>1.9900743804199784E-13</v>
      </c>
    </row>
    <row r="342" spans="1:26" ht="22.5" hidden="1" customHeight="1" x14ac:dyDescent="0.25">
      <c r="A342" s="1" t="s">
        <v>349</v>
      </c>
      <c r="B342" s="1" t="s">
        <v>831</v>
      </c>
      <c r="C342" s="2" t="s">
        <v>0</v>
      </c>
      <c r="D342" s="1" t="s">
        <v>1330</v>
      </c>
      <c r="E342" s="2"/>
      <c r="F342" s="22"/>
      <c r="G342" s="4" t="s">
        <v>7</v>
      </c>
      <c r="H342" s="112" t="s">
        <v>1558</v>
      </c>
      <c r="I342" s="4" t="s">
        <v>7</v>
      </c>
      <c r="J342" s="119" t="s">
        <v>638</v>
      </c>
      <c r="K342" s="2" t="s">
        <v>0</v>
      </c>
      <c r="L342" s="22" t="s">
        <v>1416</v>
      </c>
      <c r="M342" s="2"/>
      <c r="N342" s="125"/>
      <c r="O342" s="126">
        <f>1*10^-13</f>
        <v>1E-13</v>
      </c>
      <c r="P342" s="146">
        <v>1E-13</v>
      </c>
      <c r="Q342" s="118" t="s">
        <v>1167</v>
      </c>
      <c r="R342" s="1"/>
      <c r="S342" s="1" t="s">
        <v>1049</v>
      </c>
      <c r="T342" s="1"/>
      <c r="U342" s="24" t="s">
        <v>690</v>
      </c>
      <c r="V342" s="116" t="b">
        <f>OR(B342=$V$1,D342=$V$1,B342="2"&amp;$V$1)</f>
        <v>0</v>
      </c>
      <c r="W342" s="1" t="b">
        <f>OR(J342=$W$1,L342=$W$1,N342=$W$1,J342="2"&amp;$W$1,L342="2"&amp;$W$1,N342="2"&amp;$W$1)</f>
        <v>0</v>
      </c>
      <c r="Y342" s="25" t="str">
        <f>B342&amp;" + "&amp;D342&amp;IF(F342&lt;&gt;""," + "&amp;F342,"")&amp;"-&gt;"&amp;J342&amp;" + "&amp;L342&amp;IF(N342&lt;&gt;""," + "&amp;N342,"")</f>
        <v>N2+ + O3--&gt;O3 + 2N</v>
      </c>
      <c r="Z342" s="29">
        <f>O342</f>
        <v>1E-13</v>
      </c>
    </row>
    <row r="343" spans="1:26" ht="22.5" hidden="1" customHeight="1" x14ac:dyDescent="0.25">
      <c r="A343" s="1" t="s">
        <v>350</v>
      </c>
      <c r="B343" s="1" t="s">
        <v>831</v>
      </c>
      <c r="C343" s="2" t="s">
        <v>0</v>
      </c>
      <c r="D343" s="1" t="s">
        <v>1330</v>
      </c>
      <c r="E343" s="2"/>
      <c r="F343" s="22"/>
      <c r="G343" s="4" t="s">
        <v>7</v>
      </c>
      <c r="H343" s="112" t="s">
        <v>1558</v>
      </c>
      <c r="I343" s="4" t="s">
        <v>7</v>
      </c>
      <c r="J343" s="119" t="s">
        <v>638</v>
      </c>
      <c r="K343" s="2" t="s">
        <v>0</v>
      </c>
      <c r="L343" s="1" t="s">
        <v>689</v>
      </c>
      <c r="M343" s="2"/>
      <c r="N343" s="125"/>
      <c r="O343" s="126">
        <f>2*10^-13*(300/Tg)^0.5</f>
        <v>1.9900743804199784E-13</v>
      </c>
      <c r="P343" s="146">
        <v>1.9900743804199784E-13</v>
      </c>
      <c r="Q343" s="118" t="s">
        <v>1166</v>
      </c>
      <c r="R343" s="1"/>
      <c r="S343" s="1" t="s">
        <v>1049</v>
      </c>
      <c r="T343" s="1"/>
      <c r="U343" s="24" t="s">
        <v>756</v>
      </c>
      <c r="V343" s="116" t="b">
        <f>OR(B343=$V$1,D343=$V$1,B343="2"&amp;$V$1)</f>
        <v>0</v>
      </c>
      <c r="W343" s="1" t="b">
        <f>OR(J343=$W$1,L343=$W$1,N343=$W$1,J343="2"&amp;$W$1,L343="2"&amp;$W$1,N343="2"&amp;$W$1)</f>
        <v>0</v>
      </c>
      <c r="Y343" s="25" t="str">
        <f>B343&amp;" + "&amp;D343&amp;IF(F343&lt;&gt;""," + "&amp;F343,"")&amp;"-&gt;"&amp;J343&amp;" + "&amp;L343&amp;IF(N343&lt;&gt;""," + "&amp;N343,"")</f>
        <v>N2+ + O3--&gt;O3 + N2</v>
      </c>
      <c r="Z343" s="29">
        <f>O343</f>
        <v>1.9900743804199784E-13</v>
      </c>
    </row>
    <row r="344" spans="1:26" ht="22.5" hidden="1" customHeight="1" x14ac:dyDescent="0.25">
      <c r="A344" s="1" t="s">
        <v>351</v>
      </c>
      <c r="B344" s="1" t="s">
        <v>831</v>
      </c>
      <c r="C344" s="2" t="s">
        <v>0</v>
      </c>
      <c r="D344" s="1" t="s">
        <v>1331</v>
      </c>
      <c r="E344" s="2"/>
      <c r="F344" s="22"/>
      <c r="G344" s="4" t="s">
        <v>7</v>
      </c>
      <c r="H344" s="112" t="s">
        <v>1558</v>
      </c>
      <c r="I344" s="4" t="s">
        <v>7</v>
      </c>
      <c r="J344" s="119" t="s">
        <v>1409</v>
      </c>
      <c r="K344" s="2" t="s">
        <v>0</v>
      </c>
      <c r="L344" s="1" t="s">
        <v>689</v>
      </c>
      <c r="M344" s="2"/>
      <c r="N344" s="128"/>
      <c r="O344" s="126">
        <f>1*10^-13</f>
        <v>1E-13</v>
      </c>
      <c r="P344" s="146">
        <v>1E-13</v>
      </c>
      <c r="Q344" s="118" t="s">
        <v>1167</v>
      </c>
      <c r="R344" s="1"/>
      <c r="S344" s="1" t="s">
        <v>1049</v>
      </c>
      <c r="T344" s="1"/>
      <c r="U344" s="24" t="s">
        <v>690</v>
      </c>
      <c r="V344" s="116" t="b">
        <f>OR(B344=$V$1,D344=$V$1,B344="2"&amp;$V$1)</f>
        <v>0</v>
      </c>
      <c r="W344" s="1" t="b">
        <f>OR(J344=$W$1,L344=$W$1,N344=$W$1,J344="2"&amp;$W$1,L344="2"&amp;$W$1,N344="2"&amp;$W$1)</f>
        <v>0</v>
      </c>
      <c r="Y344" s="25" t="str">
        <f>B344&amp;" + "&amp;D344&amp;IF(F344&lt;&gt;""," + "&amp;F344,"")&amp;"-&gt;"&amp;J344&amp;" + "&amp;L344&amp;IF(N344&lt;&gt;""," + "&amp;N344,"")</f>
        <v>N2+ + O4--&gt;2O2 + N2</v>
      </c>
      <c r="Z344" s="29">
        <f>O344</f>
        <v>1E-13</v>
      </c>
    </row>
    <row r="345" spans="1:26" ht="22.5" hidden="1" customHeight="1" x14ac:dyDescent="0.25">
      <c r="A345" s="1" t="s">
        <v>352</v>
      </c>
      <c r="B345" s="1" t="s">
        <v>831</v>
      </c>
      <c r="C345" s="2" t="s">
        <v>0</v>
      </c>
      <c r="D345" s="1" t="s">
        <v>1323</v>
      </c>
      <c r="E345" s="2"/>
      <c r="F345" s="22"/>
      <c r="G345" s="4" t="s">
        <v>7</v>
      </c>
      <c r="H345" s="112" t="s">
        <v>1558</v>
      </c>
      <c r="I345" s="4" t="s">
        <v>7</v>
      </c>
      <c r="J345" s="119" t="s">
        <v>653</v>
      </c>
      <c r="K345" s="2" t="s">
        <v>0</v>
      </c>
      <c r="L345" s="1" t="s">
        <v>689</v>
      </c>
      <c r="M345" s="2"/>
      <c r="N345" s="125"/>
      <c r="O345" s="126">
        <f>2*10^-13*(300/Tg)^0.5</f>
        <v>1.9900743804199784E-13</v>
      </c>
      <c r="P345" s="146">
        <v>1.9900743804199784E-13</v>
      </c>
      <c r="Q345" s="118" t="s">
        <v>1166</v>
      </c>
      <c r="R345" s="1"/>
      <c r="S345" s="1" t="s">
        <v>1049</v>
      </c>
      <c r="T345" s="1"/>
      <c r="U345" s="24" t="s">
        <v>703</v>
      </c>
      <c r="V345" s="116" t="b">
        <f>OR(B345=$V$1,D345=$V$1,B345="2"&amp;$V$1)</f>
        <v>0</v>
      </c>
      <c r="W345" s="1" t="b">
        <f>OR(J345=$W$1,L345=$W$1,N345=$W$1,J345="2"&amp;$W$1,L345="2"&amp;$W$1,N345="2"&amp;$W$1)</f>
        <v>0</v>
      </c>
      <c r="Y345" s="25" t="str">
        <f>B345&amp;" + "&amp;D345&amp;IF(F345&lt;&gt;""," + "&amp;F345,"")&amp;"-&gt;"&amp;J345&amp;" + "&amp;L345&amp;IF(N345&lt;&gt;""," + "&amp;N345,"")</f>
        <v>N2+ + H--&gt;H + N2</v>
      </c>
      <c r="Z345" s="29">
        <f>O345</f>
        <v>1.9900743804199784E-13</v>
      </c>
    </row>
    <row r="346" spans="1:26" ht="22.5" hidden="1" customHeight="1" x14ac:dyDescent="0.25">
      <c r="A346" s="1" t="s">
        <v>353</v>
      </c>
      <c r="B346" s="1" t="s">
        <v>831</v>
      </c>
      <c r="C346" s="2" t="s">
        <v>0</v>
      </c>
      <c r="D346" s="1" t="s">
        <v>1323</v>
      </c>
      <c r="E346" s="2"/>
      <c r="F346" s="22"/>
      <c r="G346" s="4" t="s">
        <v>7</v>
      </c>
      <c r="H346" s="112" t="s">
        <v>1558</v>
      </c>
      <c r="I346" s="4" t="s">
        <v>7</v>
      </c>
      <c r="J346" s="119" t="s">
        <v>653</v>
      </c>
      <c r="K346" s="2" t="s">
        <v>0</v>
      </c>
      <c r="L346" s="22" t="s">
        <v>1416</v>
      </c>
      <c r="M346" s="2"/>
      <c r="N346" s="125"/>
      <c r="O346" s="126">
        <f>1*10^-13</f>
        <v>1E-13</v>
      </c>
      <c r="P346" s="146">
        <v>1E-13</v>
      </c>
      <c r="Q346" s="118" t="s">
        <v>1167</v>
      </c>
      <c r="R346" s="1"/>
      <c r="S346" s="1" t="s">
        <v>1049</v>
      </c>
      <c r="T346" s="1"/>
      <c r="U346" s="24" t="s">
        <v>690</v>
      </c>
      <c r="V346" s="116" t="b">
        <f>OR(B346=$V$1,D346=$V$1,B346="2"&amp;$V$1)</f>
        <v>0</v>
      </c>
      <c r="W346" s="1" t="b">
        <f>OR(J346=$W$1,L346=$W$1,N346=$W$1,J346="2"&amp;$W$1,L346="2"&amp;$W$1,N346="2"&amp;$W$1)</f>
        <v>0</v>
      </c>
      <c r="Y346" s="25" t="str">
        <f>B346&amp;" + "&amp;D346&amp;IF(F346&lt;&gt;""," + "&amp;F346,"")&amp;"-&gt;"&amp;J346&amp;" + "&amp;L346&amp;IF(N346&lt;&gt;""," + "&amp;N346,"")</f>
        <v>N2+ + H--&gt;H + 2N</v>
      </c>
      <c r="Z346" s="29">
        <f>O346</f>
        <v>1E-13</v>
      </c>
    </row>
    <row r="347" spans="1:26" ht="22.5" hidden="1" customHeight="1" x14ac:dyDescent="0.25">
      <c r="A347" s="1" t="s">
        <v>354</v>
      </c>
      <c r="B347" s="1" t="s">
        <v>831</v>
      </c>
      <c r="C347" s="2" t="s">
        <v>0</v>
      </c>
      <c r="D347" s="1" t="s">
        <v>1332</v>
      </c>
      <c r="E347" s="2"/>
      <c r="F347" s="22"/>
      <c r="G347" s="4" t="s">
        <v>7</v>
      </c>
      <c r="H347" s="112" t="s">
        <v>1558</v>
      </c>
      <c r="I347" s="4" t="s">
        <v>7</v>
      </c>
      <c r="J347" s="119" t="s">
        <v>654</v>
      </c>
      <c r="K347" s="2" t="s">
        <v>0</v>
      </c>
      <c r="L347" s="1" t="s">
        <v>689</v>
      </c>
      <c r="M347" s="2"/>
      <c r="N347" s="125"/>
      <c r="O347" s="126">
        <f>2*10^-13*(300/Tg)^0.5</f>
        <v>1.9900743804199784E-13</v>
      </c>
      <c r="P347" s="146">
        <v>1.9900743804199784E-13</v>
      </c>
      <c r="Q347" s="118" t="s">
        <v>1166</v>
      </c>
      <c r="R347" s="1"/>
      <c r="S347" s="1" t="s">
        <v>1049</v>
      </c>
      <c r="T347" s="1"/>
      <c r="U347" s="24" t="s">
        <v>703</v>
      </c>
      <c r="V347" s="116" t="b">
        <f>OR(B347=$V$1,D347=$V$1,B347="2"&amp;$V$1)</f>
        <v>0</v>
      </c>
      <c r="W347" s="1" t="b">
        <f>OR(J347=$W$1,L347=$W$1,N347=$W$1,J347="2"&amp;$W$1,L347="2"&amp;$W$1,N347="2"&amp;$W$1)</f>
        <v>0</v>
      </c>
      <c r="Y347" s="25" t="str">
        <f>B347&amp;" + "&amp;D347&amp;IF(F347&lt;&gt;""," + "&amp;F347,"")&amp;"-&gt;"&amp;J347&amp;" + "&amp;L347&amp;IF(N347&lt;&gt;""," + "&amp;N347,"")</f>
        <v>N2+ + OH--&gt;OH + N2</v>
      </c>
      <c r="Z347" s="29">
        <f>O347</f>
        <v>1.9900743804199784E-13</v>
      </c>
    </row>
    <row r="348" spans="1:26" ht="22.5" hidden="1" customHeight="1" x14ac:dyDescent="0.25">
      <c r="A348" s="1" t="s">
        <v>355</v>
      </c>
      <c r="B348" s="1" t="s">
        <v>831</v>
      </c>
      <c r="C348" s="2" t="s">
        <v>0</v>
      </c>
      <c r="D348" s="1" t="s">
        <v>1332</v>
      </c>
      <c r="E348" s="2"/>
      <c r="F348" s="22"/>
      <c r="G348" s="4" t="s">
        <v>7</v>
      </c>
      <c r="H348" s="112" t="s">
        <v>1558</v>
      </c>
      <c r="I348" s="4" t="s">
        <v>7</v>
      </c>
      <c r="J348" s="119" t="s">
        <v>654</v>
      </c>
      <c r="K348" s="2" t="s">
        <v>0</v>
      </c>
      <c r="L348" s="22" t="s">
        <v>1416</v>
      </c>
      <c r="M348" s="2"/>
      <c r="N348" s="125"/>
      <c r="O348" s="126">
        <f>1*10^-13</f>
        <v>1E-13</v>
      </c>
      <c r="P348" s="146">
        <v>1E-13</v>
      </c>
      <c r="Q348" s="118" t="s">
        <v>1167</v>
      </c>
      <c r="R348" s="1"/>
      <c r="S348" s="1" t="s">
        <v>1049</v>
      </c>
      <c r="T348" s="1"/>
      <c r="U348" s="24" t="s">
        <v>690</v>
      </c>
      <c r="V348" s="116" t="b">
        <f>OR(B348=$V$1,D348=$V$1,B348="2"&amp;$V$1)</f>
        <v>0</v>
      </c>
      <c r="W348" s="1" t="b">
        <f>OR(J348=$W$1,L348=$W$1,N348=$W$1,J348="2"&amp;$W$1,L348="2"&amp;$W$1,N348="2"&amp;$W$1)</f>
        <v>0</v>
      </c>
      <c r="Y348" s="25" t="str">
        <f>B348&amp;" + "&amp;D348&amp;IF(F348&lt;&gt;""," + "&amp;F348,"")&amp;"-&gt;"&amp;J348&amp;" + "&amp;L348&amp;IF(N348&lt;&gt;""," + "&amp;N348,"")</f>
        <v>N2+ + OH--&gt;OH + 2N</v>
      </c>
      <c r="Z348" s="29">
        <f>O348</f>
        <v>1E-13</v>
      </c>
    </row>
    <row r="349" spans="1:26" ht="22.5" hidden="1" customHeight="1" x14ac:dyDescent="0.25">
      <c r="A349" s="1" t="s">
        <v>356</v>
      </c>
      <c r="B349" s="1" t="s">
        <v>680</v>
      </c>
      <c r="C349" s="2" t="s">
        <v>0</v>
      </c>
      <c r="D349" s="1" t="s">
        <v>1324</v>
      </c>
      <c r="E349" s="2"/>
      <c r="F349" s="22"/>
      <c r="G349" s="4" t="s">
        <v>7</v>
      </c>
      <c r="H349" s="112" t="s">
        <v>1558</v>
      </c>
      <c r="I349" s="4" t="s">
        <v>7</v>
      </c>
      <c r="J349" s="119" t="s">
        <v>1421</v>
      </c>
      <c r="K349" s="2"/>
      <c r="L349" s="1"/>
      <c r="M349" s="2"/>
      <c r="N349" s="125"/>
      <c r="O349" s="126">
        <f>2*10^-13*(300/Tg)^0.5</f>
        <v>1.9900743804199784E-13</v>
      </c>
      <c r="P349" s="146">
        <v>1.9900743804199784E-13</v>
      </c>
      <c r="Q349" s="118" t="s">
        <v>1166</v>
      </c>
      <c r="R349" s="1"/>
      <c r="S349" s="1" t="s">
        <v>1049</v>
      </c>
      <c r="T349" s="1"/>
      <c r="U349" s="24" t="s">
        <v>756</v>
      </c>
      <c r="V349" s="116" t="b">
        <f>OR(B349=$V$1,D349=$V$1,B349="2"&amp;$V$1)</f>
        <v>0</v>
      </c>
      <c r="W349" s="1" t="b">
        <f>OR(J349=$W$1,L349=$W$1,N349=$W$1,J349="2"&amp;$W$1,L349="2"&amp;$W$1,N349="2"&amp;$W$1)</f>
        <v>0</v>
      </c>
      <c r="Y349" s="25" t="str">
        <f>B349&amp;" + "&amp;D349&amp;IF(F349&lt;&gt;""," + "&amp;F349,"")&amp;"-&gt;"&amp;J349&amp;" + "&amp;L349&amp;IF(N349&lt;&gt;""," + "&amp;N349,"")</f>
        <v xml:space="preserve">N2O+ + N2O--&gt;2N2O + </v>
      </c>
      <c r="Z349" s="29">
        <f>O349</f>
        <v>1.9900743804199784E-13</v>
      </c>
    </row>
    <row r="350" spans="1:26" ht="22.5" hidden="1" customHeight="1" x14ac:dyDescent="0.25">
      <c r="A350" s="1" t="s">
        <v>357</v>
      </c>
      <c r="B350" s="1" t="s">
        <v>680</v>
      </c>
      <c r="C350" s="2" t="s">
        <v>0</v>
      </c>
      <c r="D350" s="1" t="s">
        <v>1324</v>
      </c>
      <c r="E350" s="2"/>
      <c r="F350" s="22"/>
      <c r="G350" s="4" t="s">
        <v>7</v>
      </c>
      <c r="H350" s="112" t="s">
        <v>1558</v>
      </c>
      <c r="I350" s="4" t="s">
        <v>7</v>
      </c>
      <c r="J350" s="119" t="s">
        <v>1259</v>
      </c>
      <c r="K350" s="2" t="s">
        <v>0</v>
      </c>
      <c r="L350" s="1" t="s">
        <v>689</v>
      </c>
      <c r="M350" s="2" t="s">
        <v>0</v>
      </c>
      <c r="N350" s="125" t="s">
        <v>639</v>
      </c>
      <c r="O350" s="126">
        <f>1*10^-13</f>
        <v>1E-13</v>
      </c>
      <c r="P350" s="146">
        <v>1E-13</v>
      </c>
      <c r="Q350" s="118" t="s">
        <v>1167</v>
      </c>
      <c r="R350" s="1"/>
      <c r="S350" s="1" t="s">
        <v>1049</v>
      </c>
      <c r="T350" s="1"/>
      <c r="U350" s="24" t="s">
        <v>690</v>
      </c>
      <c r="V350" s="116" t="b">
        <f>OR(B350=$V$1,D350=$V$1,B350="2"&amp;$V$1)</f>
        <v>0</v>
      </c>
      <c r="W350" s="1" t="b">
        <f>OR(J350=$W$1,L350=$W$1,N350=$W$1,J350="2"&amp;$W$1,L350="2"&amp;$W$1,N350="2"&amp;$W$1)</f>
        <v>0</v>
      </c>
      <c r="Y350" s="25" t="str">
        <f>B350&amp;" + "&amp;D350&amp;IF(F350&lt;&gt;""," + "&amp;F350,"")&amp;"-&gt;"&amp;J350&amp;" + "&amp;L350&amp;IF(N350&lt;&gt;""," + "&amp;N350,"")</f>
        <v>N2O+ + N2O--&gt;N2O + N2 + O</v>
      </c>
      <c r="Z350" s="29">
        <f>O350</f>
        <v>1E-13</v>
      </c>
    </row>
    <row r="351" spans="1:26" ht="22.5" hidden="1" customHeight="1" x14ac:dyDescent="0.25">
      <c r="A351" s="1" t="s">
        <v>358</v>
      </c>
      <c r="B351" s="1" t="s">
        <v>680</v>
      </c>
      <c r="C351" s="2" t="s">
        <v>0</v>
      </c>
      <c r="D351" s="1" t="s">
        <v>1325</v>
      </c>
      <c r="E351" s="2"/>
      <c r="F351" s="22"/>
      <c r="G351" s="4" t="s">
        <v>7</v>
      </c>
      <c r="H351" s="112" t="s">
        <v>1558</v>
      </c>
      <c r="I351" s="4" t="s">
        <v>7</v>
      </c>
      <c r="J351" s="119" t="s">
        <v>688</v>
      </c>
      <c r="K351" s="2" t="s">
        <v>0</v>
      </c>
      <c r="L351" s="1" t="s">
        <v>738</v>
      </c>
      <c r="M351" s="2"/>
      <c r="N351" s="125"/>
      <c r="O351" s="126">
        <f>2*10^-13*(300/Tg)^0.5</f>
        <v>1.9900743804199784E-13</v>
      </c>
      <c r="P351" s="146">
        <v>1.9900743804199784E-13</v>
      </c>
      <c r="Q351" s="118" t="s">
        <v>1166</v>
      </c>
      <c r="R351" s="1"/>
      <c r="S351" s="1" t="s">
        <v>1049</v>
      </c>
      <c r="T351" s="1"/>
      <c r="U351" s="24" t="s">
        <v>756</v>
      </c>
      <c r="V351" s="116" t="b">
        <f>OR(B351=$V$1,D351=$V$1,B351="2"&amp;$V$1)</f>
        <v>0</v>
      </c>
      <c r="W351" s="1" t="b">
        <f>OR(J351=$W$1,L351=$W$1,N351=$W$1,J351="2"&amp;$W$1,L351="2"&amp;$W$1,N351="2"&amp;$W$1)</f>
        <v>0</v>
      </c>
      <c r="Y351" s="25" t="str">
        <f>B351&amp;" + "&amp;D351&amp;IF(F351&lt;&gt;""," + "&amp;F351,"")&amp;"-&gt;"&amp;J351&amp;" + "&amp;L351&amp;IF(N351&lt;&gt;""," + "&amp;N351,"")</f>
        <v>N2O+ + NO--&gt;NO + N2O</v>
      </c>
      <c r="Z351" s="29">
        <f>O351</f>
        <v>1.9900743804199784E-13</v>
      </c>
    </row>
    <row r="352" spans="1:26" ht="22.5" hidden="1" customHeight="1" x14ac:dyDescent="0.25">
      <c r="A352" s="1" t="s">
        <v>359</v>
      </c>
      <c r="B352" s="1" t="s">
        <v>680</v>
      </c>
      <c r="C352" s="2" t="s">
        <v>0</v>
      </c>
      <c r="D352" s="1" t="s">
        <v>1325</v>
      </c>
      <c r="E352" s="2"/>
      <c r="F352" s="22"/>
      <c r="G352" s="4" t="s">
        <v>7</v>
      </c>
      <c r="H352" s="112" t="s">
        <v>1558</v>
      </c>
      <c r="I352" s="4" t="s">
        <v>7</v>
      </c>
      <c r="J352" s="119" t="s">
        <v>688</v>
      </c>
      <c r="K352" s="2" t="s">
        <v>0</v>
      </c>
      <c r="L352" s="1" t="s">
        <v>689</v>
      </c>
      <c r="M352" s="2" t="s">
        <v>0</v>
      </c>
      <c r="N352" s="125" t="s">
        <v>639</v>
      </c>
      <c r="O352" s="126">
        <f>1*10^-13</f>
        <v>1E-13</v>
      </c>
      <c r="P352" s="146">
        <v>1E-13</v>
      </c>
      <c r="Q352" s="118" t="s">
        <v>1167</v>
      </c>
      <c r="R352" s="1"/>
      <c r="S352" s="1" t="s">
        <v>1049</v>
      </c>
      <c r="T352" s="1"/>
      <c r="U352" s="24" t="s">
        <v>690</v>
      </c>
      <c r="V352" s="116" t="b">
        <f>OR(B352=$V$1,D352=$V$1,B352="2"&amp;$V$1)</f>
        <v>0</v>
      </c>
      <c r="W352" s="1" t="b">
        <f>OR(J352=$W$1,L352=$W$1,N352=$W$1,J352="2"&amp;$W$1,L352="2"&amp;$W$1,N352="2"&amp;$W$1)</f>
        <v>0</v>
      </c>
      <c r="Y352" s="25" t="str">
        <f>B352&amp;" + "&amp;D352&amp;IF(F352&lt;&gt;""," + "&amp;F352,"")&amp;"-&gt;"&amp;J352&amp;" + "&amp;L352&amp;IF(N352&lt;&gt;""," + "&amp;N352,"")</f>
        <v>N2O+ + NO--&gt;NO + N2 + O</v>
      </c>
      <c r="Z352" s="29">
        <f>O352</f>
        <v>1E-13</v>
      </c>
    </row>
    <row r="353" spans="1:26" ht="22.5" hidden="1" customHeight="1" x14ac:dyDescent="0.25">
      <c r="A353" s="1" t="s">
        <v>360</v>
      </c>
      <c r="B353" s="1" t="s">
        <v>680</v>
      </c>
      <c r="C353" s="2" t="s">
        <v>0</v>
      </c>
      <c r="D353" s="1" t="s">
        <v>1326</v>
      </c>
      <c r="E353" s="2"/>
      <c r="F353" s="22"/>
      <c r="G353" s="4" t="s">
        <v>7</v>
      </c>
      <c r="H353" s="112" t="s">
        <v>1558</v>
      </c>
      <c r="I353" s="4" t="s">
        <v>7</v>
      </c>
      <c r="J353" s="119" t="s">
        <v>1261</v>
      </c>
      <c r="K353" s="2" t="s">
        <v>0</v>
      </c>
      <c r="L353" s="1" t="s">
        <v>738</v>
      </c>
      <c r="M353" s="2"/>
      <c r="N353" s="125"/>
      <c r="O353" s="126">
        <f>2*10^-13*(300/Tg)^0.5</f>
        <v>1.9900743804199784E-13</v>
      </c>
      <c r="P353" s="146">
        <v>1.9900743804199784E-13</v>
      </c>
      <c r="Q353" s="118" t="s">
        <v>1166</v>
      </c>
      <c r="R353" s="1"/>
      <c r="S353" s="1" t="s">
        <v>1049</v>
      </c>
      <c r="T353" s="1"/>
      <c r="U353" s="24" t="s">
        <v>756</v>
      </c>
      <c r="V353" s="116" t="b">
        <f>OR(B353=$V$1,D353=$V$1,B353="2"&amp;$V$1)</f>
        <v>0</v>
      </c>
      <c r="W353" s="1" t="b">
        <f>OR(J353=$W$1,L353=$W$1,N353=$W$1,J353="2"&amp;$W$1,L353="2"&amp;$W$1,N353="2"&amp;$W$1)</f>
        <v>1</v>
      </c>
      <c r="Y353" s="25" t="str">
        <f>B353&amp;" + "&amp;D353&amp;IF(F353&lt;&gt;""," + "&amp;F353,"")&amp;"-&gt;"&amp;J353&amp;" + "&amp;L353&amp;IF(N353&lt;&gt;""," + "&amp;N353,"")</f>
        <v>N2O+ + NO2--&gt;NO2 + N2O</v>
      </c>
      <c r="Z353" s="29">
        <f>O353</f>
        <v>1.9900743804199784E-13</v>
      </c>
    </row>
    <row r="354" spans="1:26" ht="22.5" hidden="1" customHeight="1" x14ac:dyDescent="0.25">
      <c r="A354" s="1" t="s">
        <v>361</v>
      </c>
      <c r="B354" s="1" t="s">
        <v>680</v>
      </c>
      <c r="C354" s="2" t="s">
        <v>0</v>
      </c>
      <c r="D354" s="1" t="s">
        <v>1326</v>
      </c>
      <c r="E354" s="2"/>
      <c r="F354" s="22"/>
      <c r="G354" s="4" t="s">
        <v>7</v>
      </c>
      <c r="H354" s="112" t="s">
        <v>1558</v>
      </c>
      <c r="I354" s="4" t="s">
        <v>7</v>
      </c>
      <c r="J354" s="119" t="s">
        <v>1261</v>
      </c>
      <c r="K354" s="2" t="s">
        <v>0</v>
      </c>
      <c r="L354" s="1" t="s">
        <v>689</v>
      </c>
      <c r="M354" s="2" t="s">
        <v>0</v>
      </c>
      <c r="N354" s="125" t="s">
        <v>639</v>
      </c>
      <c r="O354" s="126">
        <f>1*10^-13</f>
        <v>1E-13</v>
      </c>
      <c r="P354" s="146">
        <v>1E-13</v>
      </c>
      <c r="Q354" s="118" t="s">
        <v>1167</v>
      </c>
      <c r="R354" s="1"/>
      <c r="S354" s="1" t="s">
        <v>1049</v>
      </c>
      <c r="T354" s="1"/>
      <c r="U354" s="24" t="s">
        <v>690</v>
      </c>
      <c r="V354" s="116" t="b">
        <f>OR(B354=$V$1,D354=$V$1,B354="2"&amp;$V$1)</f>
        <v>0</v>
      </c>
      <c r="W354" s="1" t="b">
        <f>OR(J354=$W$1,L354=$W$1,N354=$W$1,J354="2"&amp;$W$1,L354="2"&amp;$W$1,N354="2"&amp;$W$1)</f>
        <v>1</v>
      </c>
      <c r="Y354" s="25" t="str">
        <f>B354&amp;" + "&amp;D354&amp;IF(F354&lt;&gt;""," + "&amp;F354,"")&amp;"-&gt;"&amp;J354&amp;" + "&amp;L354&amp;IF(N354&lt;&gt;""," + "&amp;N354,"")</f>
        <v>N2O+ + NO2--&gt;NO2 + N2 + O</v>
      </c>
      <c r="Z354" s="29">
        <f>O354</f>
        <v>1E-13</v>
      </c>
    </row>
    <row r="355" spans="1:26" ht="22.5" hidden="1" customHeight="1" x14ac:dyDescent="0.25">
      <c r="A355" s="1" t="s">
        <v>362</v>
      </c>
      <c r="B355" s="1" t="s">
        <v>680</v>
      </c>
      <c r="C355" s="2" t="s">
        <v>0</v>
      </c>
      <c r="D355" s="1" t="s">
        <v>1327</v>
      </c>
      <c r="E355" s="2"/>
      <c r="F355" s="22"/>
      <c r="G355" s="4" t="s">
        <v>7</v>
      </c>
      <c r="H355" s="112" t="s">
        <v>1558</v>
      </c>
      <c r="I355" s="4" t="s">
        <v>7</v>
      </c>
      <c r="J355" s="119" t="s">
        <v>1263</v>
      </c>
      <c r="K355" s="2" t="s">
        <v>0</v>
      </c>
      <c r="L355" s="1" t="s">
        <v>738</v>
      </c>
      <c r="M355" s="2"/>
      <c r="N355" s="125"/>
      <c r="O355" s="126">
        <f>2*10^-13*(300/Tg)^0.5</f>
        <v>1.9900743804199784E-13</v>
      </c>
      <c r="P355" s="146">
        <v>1.9900743804199784E-13</v>
      </c>
      <c r="Q355" s="118" t="s">
        <v>1166</v>
      </c>
      <c r="R355" s="1"/>
      <c r="S355" s="1" t="s">
        <v>1049</v>
      </c>
      <c r="T355" s="1"/>
      <c r="U355" s="24" t="s">
        <v>756</v>
      </c>
      <c r="V355" s="116" t="b">
        <f>OR(B355=$V$1,D355=$V$1,B355="2"&amp;$V$1)</f>
        <v>0</v>
      </c>
      <c r="W355" s="1" t="b">
        <f>OR(J355=$W$1,L355=$W$1,N355=$W$1,J355="2"&amp;$W$1,L355="2"&amp;$W$1,N355="2"&amp;$W$1)</f>
        <v>0</v>
      </c>
      <c r="Y355" s="25" t="str">
        <f>B355&amp;" + "&amp;D355&amp;IF(F355&lt;&gt;""," + "&amp;F355,"")&amp;"-&gt;"&amp;J355&amp;" + "&amp;L355&amp;IF(N355&lt;&gt;""," + "&amp;N355,"")</f>
        <v>N2O+ + NO3--&gt;NO3 + N2O</v>
      </c>
      <c r="Z355" s="29">
        <f>O355</f>
        <v>1.9900743804199784E-13</v>
      </c>
    </row>
    <row r="356" spans="1:26" ht="22.5" hidden="1" customHeight="1" x14ac:dyDescent="0.25">
      <c r="A356" s="1" t="s">
        <v>363</v>
      </c>
      <c r="B356" s="1" t="s">
        <v>680</v>
      </c>
      <c r="C356" s="2" t="s">
        <v>0</v>
      </c>
      <c r="D356" s="1" t="s">
        <v>1327</v>
      </c>
      <c r="E356" s="2"/>
      <c r="F356" s="22"/>
      <c r="G356" s="4" t="s">
        <v>7</v>
      </c>
      <c r="H356" s="112" t="s">
        <v>1558</v>
      </c>
      <c r="I356" s="4" t="s">
        <v>7</v>
      </c>
      <c r="J356" s="119" t="s">
        <v>1263</v>
      </c>
      <c r="K356" s="2" t="s">
        <v>0</v>
      </c>
      <c r="L356" s="1" t="s">
        <v>689</v>
      </c>
      <c r="M356" s="2" t="s">
        <v>0</v>
      </c>
      <c r="N356" s="125" t="s">
        <v>639</v>
      </c>
      <c r="O356" s="126">
        <f>1*10^-13</f>
        <v>1E-13</v>
      </c>
      <c r="P356" s="146">
        <v>1E-13</v>
      </c>
      <c r="Q356" s="118" t="s">
        <v>1167</v>
      </c>
      <c r="R356" s="1"/>
      <c r="S356" s="1" t="s">
        <v>1049</v>
      </c>
      <c r="T356" s="1"/>
      <c r="U356" s="24" t="s">
        <v>690</v>
      </c>
      <c r="V356" s="116" t="b">
        <f>OR(B356=$V$1,D356=$V$1,B356="2"&amp;$V$1)</f>
        <v>0</v>
      </c>
      <c r="W356" s="1" t="b">
        <f>OR(J356=$W$1,L356=$W$1,N356=$W$1,J356="2"&amp;$W$1,L356="2"&amp;$W$1,N356="2"&amp;$W$1)</f>
        <v>0</v>
      </c>
      <c r="Y356" s="25" t="str">
        <f>B356&amp;" + "&amp;D356&amp;IF(F356&lt;&gt;""," + "&amp;F356,"")&amp;"-&gt;"&amp;J356&amp;" + "&amp;L356&amp;IF(N356&lt;&gt;""," + "&amp;N356,"")</f>
        <v>N2O+ + NO3--&gt;NO3 + N2 + O</v>
      </c>
      <c r="Z356" s="29">
        <f>O356</f>
        <v>1E-13</v>
      </c>
    </row>
    <row r="357" spans="1:26" ht="22.5" hidden="1" customHeight="1" x14ac:dyDescent="0.25">
      <c r="A357" s="1" t="s">
        <v>364</v>
      </c>
      <c r="B357" s="1" t="s">
        <v>680</v>
      </c>
      <c r="C357" s="2" t="s">
        <v>0</v>
      </c>
      <c r="D357" s="1" t="s">
        <v>1328</v>
      </c>
      <c r="E357" s="2"/>
      <c r="F357" s="22"/>
      <c r="G357" s="4" t="s">
        <v>7</v>
      </c>
      <c r="H357" s="112" t="s">
        <v>1558</v>
      </c>
      <c r="I357" s="4" t="s">
        <v>7</v>
      </c>
      <c r="J357" s="119" t="s">
        <v>639</v>
      </c>
      <c r="K357" s="2" t="s">
        <v>0</v>
      </c>
      <c r="L357" s="1" t="s">
        <v>738</v>
      </c>
      <c r="M357" s="2"/>
      <c r="N357" s="125"/>
      <c r="O357" s="126">
        <f>2*10^-13*(300/Tg)^0.5</f>
        <v>1.9900743804199784E-13</v>
      </c>
      <c r="P357" s="146">
        <v>1.9900743804199784E-13</v>
      </c>
      <c r="Q357" s="118" t="s">
        <v>1166</v>
      </c>
      <c r="R357" s="1"/>
      <c r="S357" s="1" t="s">
        <v>1049</v>
      </c>
      <c r="T357" s="1"/>
      <c r="U357" s="24" t="s">
        <v>690</v>
      </c>
      <c r="V357" s="116" t="b">
        <f>OR(B357=$V$1,D357=$V$1,B357="2"&amp;$V$1)</f>
        <v>0</v>
      </c>
      <c r="W357" s="1" t="b">
        <f>OR(J357=$W$1,L357=$W$1,N357=$W$1,J357="2"&amp;$W$1,L357="2"&amp;$W$1,N357="2"&amp;$W$1)</f>
        <v>0</v>
      </c>
      <c r="Y357" s="25" t="str">
        <f>B357&amp;" + "&amp;D357&amp;IF(F357&lt;&gt;""," + "&amp;F357,"")&amp;"-&gt;"&amp;J357&amp;" + "&amp;L357&amp;IF(N357&lt;&gt;""," + "&amp;N357,"")</f>
        <v>N2O+ + O--&gt;O + N2O</v>
      </c>
      <c r="Z357" s="29">
        <f>O357</f>
        <v>1.9900743804199784E-13</v>
      </c>
    </row>
    <row r="358" spans="1:26" ht="22.5" hidden="1" customHeight="1" x14ac:dyDescent="0.25">
      <c r="A358" s="1" t="s">
        <v>365</v>
      </c>
      <c r="B358" s="1" t="s">
        <v>680</v>
      </c>
      <c r="C358" s="2" t="s">
        <v>0</v>
      </c>
      <c r="D358" s="1" t="s">
        <v>1328</v>
      </c>
      <c r="E358" s="2"/>
      <c r="F358" s="22"/>
      <c r="G358" s="4" t="s">
        <v>7</v>
      </c>
      <c r="H358" s="112" t="s">
        <v>1558</v>
      </c>
      <c r="I358" s="4" t="s">
        <v>7</v>
      </c>
      <c r="J358" s="119" t="s">
        <v>1411</v>
      </c>
      <c r="K358" s="2" t="s">
        <v>0</v>
      </c>
      <c r="L358" s="1" t="s">
        <v>689</v>
      </c>
      <c r="M358" s="2"/>
      <c r="N358" s="125"/>
      <c r="O358" s="126">
        <f>1*10^-13</f>
        <v>1E-13</v>
      </c>
      <c r="P358" s="146">
        <v>1E-13</v>
      </c>
      <c r="Q358" s="118" t="s">
        <v>1167</v>
      </c>
      <c r="R358" s="1"/>
      <c r="S358" s="1" t="s">
        <v>1049</v>
      </c>
      <c r="T358" s="1"/>
      <c r="U358" s="24" t="s">
        <v>690</v>
      </c>
      <c r="V358" s="116" t="b">
        <f>OR(B358=$V$1,D358=$V$1,B358="2"&amp;$V$1)</f>
        <v>0</v>
      </c>
      <c r="W358" s="1" t="b">
        <f>OR(J358=$W$1,L358=$W$1,N358=$W$1,J358="2"&amp;$W$1,L358="2"&amp;$W$1,N358="2"&amp;$W$1)</f>
        <v>0</v>
      </c>
      <c r="Y358" s="25" t="str">
        <f>B358&amp;" + "&amp;D358&amp;IF(F358&lt;&gt;""," + "&amp;F358,"")&amp;"-&gt;"&amp;J358&amp;" + "&amp;L358&amp;IF(N358&lt;&gt;""," + "&amp;N358,"")</f>
        <v>N2O+ + O--&gt;2O + N2</v>
      </c>
      <c r="Z358" s="29">
        <f>O358</f>
        <v>1E-13</v>
      </c>
    </row>
    <row r="359" spans="1:26" ht="22.5" hidden="1" customHeight="1" x14ac:dyDescent="0.25">
      <c r="A359" s="1" t="s">
        <v>366</v>
      </c>
      <c r="B359" s="1" t="s">
        <v>680</v>
      </c>
      <c r="C359" s="2" t="s">
        <v>0</v>
      </c>
      <c r="D359" s="1" t="s">
        <v>1329</v>
      </c>
      <c r="E359" s="2"/>
      <c r="F359" s="22"/>
      <c r="G359" s="4" t="s">
        <v>7</v>
      </c>
      <c r="H359" s="112" t="s">
        <v>1558</v>
      </c>
      <c r="I359" s="4" t="s">
        <v>7</v>
      </c>
      <c r="J359" s="119" t="s">
        <v>637</v>
      </c>
      <c r="K359" s="2" t="s">
        <v>0</v>
      </c>
      <c r="L359" s="1" t="s">
        <v>738</v>
      </c>
      <c r="M359" s="2"/>
      <c r="N359" s="125"/>
      <c r="O359" s="126">
        <f>2*10^-13*(300/Tg)^0.5</f>
        <v>1.9900743804199784E-13</v>
      </c>
      <c r="P359" s="146">
        <v>1.9900743804199784E-13</v>
      </c>
      <c r="Q359" s="118" t="s">
        <v>1166</v>
      </c>
      <c r="R359" s="1"/>
      <c r="S359" s="1" t="s">
        <v>1049</v>
      </c>
      <c r="T359" s="1"/>
      <c r="U359" s="24" t="s">
        <v>690</v>
      </c>
      <c r="V359" s="116" t="b">
        <f>OR(B359=$V$1,D359=$V$1,B359="2"&amp;$V$1)</f>
        <v>0</v>
      </c>
      <c r="W359" s="1" t="b">
        <f>OR(J359=$W$1,L359=$W$1,N359=$W$1,J359="2"&amp;$W$1,L359="2"&amp;$W$1,N359="2"&amp;$W$1)</f>
        <v>0</v>
      </c>
      <c r="Y359" s="25" t="str">
        <f>B359&amp;" + "&amp;D359&amp;IF(F359&lt;&gt;""," + "&amp;F359,"")&amp;"-&gt;"&amp;J359&amp;" + "&amp;L359&amp;IF(N359&lt;&gt;""," + "&amp;N359,"")</f>
        <v>N2O+ + O2--&gt;O2 + N2O</v>
      </c>
      <c r="Z359" s="29">
        <f>O359</f>
        <v>1.9900743804199784E-13</v>
      </c>
    </row>
    <row r="360" spans="1:26" ht="22.5" hidden="1" customHeight="1" x14ac:dyDescent="0.25">
      <c r="A360" s="1" t="s">
        <v>367</v>
      </c>
      <c r="B360" s="1" t="s">
        <v>680</v>
      </c>
      <c r="C360" s="2" t="s">
        <v>0</v>
      </c>
      <c r="D360" s="1" t="s">
        <v>1329</v>
      </c>
      <c r="E360" s="2"/>
      <c r="F360" s="22"/>
      <c r="G360" s="4" t="s">
        <v>7</v>
      </c>
      <c r="H360" s="112" t="s">
        <v>1558</v>
      </c>
      <c r="I360" s="4" t="s">
        <v>7</v>
      </c>
      <c r="J360" s="119" t="s">
        <v>637</v>
      </c>
      <c r="K360" s="2" t="s">
        <v>0</v>
      </c>
      <c r="L360" s="1" t="s">
        <v>689</v>
      </c>
      <c r="M360" s="2" t="s">
        <v>0</v>
      </c>
      <c r="N360" s="125" t="s">
        <v>639</v>
      </c>
      <c r="O360" s="126">
        <f>1*10^-13</f>
        <v>1E-13</v>
      </c>
      <c r="P360" s="146">
        <v>1E-13</v>
      </c>
      <c r="Q360" s="118" t="s">
        <v>1167</v>
      </c>
      <c r="R360" s="1"/>
      <c r="S360" s="1" t="s">
        <v>1049</v>
      </c>
      <c r="T360" s="1"/>
      <c r="U360" s="24" t="s">
        <v>690</v>
      </c>
      <c r="V360" s="116" t="b">
        <f>OR(B360=$V$1,D360=$V$1,B360="2"&amp;$V$1)</f>
        <v>0</v>
      </c>
      <c r="W360" s="1" t="b">
        <f>OR(J360=$W$1,L360=$W$1,N360=$W$1,J360="2"&amp;$W$1,L360="2"&amp;$W$1,N360="2"&amp;$W$1)</f>
        <v>0</v>
      </c>
      <c r="Y360" s="25" t="str">
        <f>B360&amp;" + "&amp;D360&amp;IF(F360&lt;&gt;""," + "&amp;F360,"")&amp;"-&gt;"&amp;J360&amp;" + "&amp;L360&amp;IF(N360&lt;&gt;""," + "&amp;N360,"")</f>
        <v>N2O+ + O2--&gt;O2 + N2 + O</v>
      </c>
      <c r="Z360" s="29">
        <f>O360</f>
        <v>1E-13</v>
      </c>
    </row>
    <row r="361" spans="1:26" ht="22.5" hidden="1" customHeight="1" x14ac:dyDescent="0.25">
      <c r="A361" s="1" t="s">
        <v>368</v>
      </c>
      <c r="B361" s="1" t="s">
        <v>680</v>
      </c>
      <c r="C361" s="2" t="s">
        <v>0</v>
      </c>
      <c r="D361" s="1" t="s">
        <v>1330</v>
      </c>
      <c r="E361" s="2"/>
      <c r="F361" s="22"/>
      <c r="G361" s="4" t="s">
        <v>7</v>
      </c>
      <c r="H361" s="112" t="s">
        <v>1558</v>
      </c>
      <c r="I361" s="4" t="s">
        <v>7</v>
      </c>
      <c r="J361" s="119" t="s">
        <v>638</v>
      </c>
      <c r="K361" s="2" t="s">
        <v>0</v>
      </c>
      <c r="L361" s="1" t="s">
        <v>738</v>
      </c>
      <c r="M361" s="2"/>
      <c r="N361" s="125"/>
      <c r="O361" s="126">
        <f>2*10^-13*(300/Tg)^0.5</f>
        <v>1.9900743804199784E-13</v>
      </c>
      <c r="P361" s="146">
        <v>1.9900743804199784E-13</v>
      </c>
      <c r="Q361" s="118" t="s">
        <v>1166</v>
      </c>
      <c r="R361" s="1"/>
      <c r="S361" s="1" t="s">
        <v>1049</v>
      </c>
      <c r="T361" s="1"/>
      <c r="U361" s="24" t="s">
        <v>756</v>
      </c>
      <c r="V361" s="116" t="b">
        <f>OR(B361=$V$1,D361=$V$1,B361="2"&amp;$V$1)</f>
        <v>0</v>
      </c>
      <c r="W361" s="1" t="b">
        <f>OR(J361=$W$1,L361=$W$1,N361=$W$1,J361="2"&amp;$W$1,L361="2"&amp;$W$1,N361="2"&amp;$W$1)</f>
        <v>0</v>
      </c>
      <c r="Y361" s="25" t="str">
        <f>B361&amp;" + "&amp;D361&amp;IF(F361&lt;&gt;""," + "&amp;F361,"")&amp;"-&gt;"&amp;J361&amp;" + "&amp;L361&amp;IF(N361&lt;&gt;""," + "&amp;N361,"")</f>
        <v>N2O+ + O3--&gt;O3 + N2O</v>
      </c>
      <c r="Z361" s="29">
        <f>O361</f>
        <v>1.9900743804199784E-13</v>
      </c>
    </row>
    <row r="362" spans="1:26" ht="22.5" hidden="1" customHeight="1" x14ac:dyDescent="0.25">
      <c r="A362" s="1" t="s">
        <v>369</v>
      </c>
      <c r="B362" s="1" t="s">
        <v>680</v>
      </c>
      <c r="C362" s="2" t="s">
        <v>0</v>
      </c>
      <c r="D362" s="1" t="s">
        <v>1330</v>
      </c>
      <c r="E362" s="2"/>
      <c r="F362" s="22"/>
      <c r="G362" s="4" t="s">
        <v>7</v>
      </c>
      <c r="H362" s="112" t="s">
        <v>1558</v>
      </c>
      <c r="I362" s="4" t="s">
        <v>7</v>
      </c>
      <c r="J362" s="119" t="s">
        <v>638</v>
      </c>
      <c r="K362" s="2" t="s">
        <v>0</v>
      </c>
      <c r="L362" s="1" t="s">
        <v>689</v>
      </c>
      <c r="M362" s="2" t="s">
        <v>0</v>
      </c>
      <c r="N362" s="125" t="s">
        <v>639</v>
      </c>
      <c r="O362" s="126">
        <f>1*10^-13</f>
        <v>1E-13</v>
      </c>
      <c r="P362" s="146">
        <v>1E-13</v>
      </c>
      <c r="Q362" s="118" t="s">
        <v>1167</v>
      </c>
      <c r="R362" s="1"/>
      <c r="S362" s="1" t="s">
        <v>1049</v>
      </c>
      <c r="T362" s="1"/>
      <c r="U362" s="24" t="s">
        <v>690</v>
      </c>
      <c r="V362" s="116" t="b">
        <f>OR(B362=$V$1,D362=$V$1,B362="2"&amp;$V$1)</f>
        <v>0</v>
      </c>
      <c r="W362" s="1" t="b">
        <f>OR(J362=$W$1,L362=$W$1,N362=$W$1,J362="2"&amp;$W$1,L362="2"&amp;$W$1,N362="2"&amp;$W$1)</f>
        <v>0</v>
      </c>
      <c r="Y362" s="25" t="str">
        <f>B362&amp;" + "&amp;D362&amp;IF(F362&lt;&gt;""," + "&amp;F362,"")&amp;"-&gt;"&amp;J362&amp;" + "&amp;L362&amp;IF(N362&lt;&gt;""," + "&amp;N362,"")</f>
        <v>N2O+ + O3--&gt;O3 + N2 + O</v>
      </c>
      <c r="Z362" s="29">
        <f>O362</f>
        <v>1E-13</v>
      </c>
    </row>
    <row r="363" spans="1:26" ht="22.5" hidden="1" customHeight="1" x14ac:dyDescent="0.25">
      <c r="A363" s="1" t="s">
        <v>370</v>
      </c>
      <c r="B363" s="1" t="s">
        <v>680</v>
      </c>
      <c r="C363" s="2" t="s">
        <v>0</v>
      </c>
      <c r="D363" s="1" t="s">
        <v>1331</v>
      </c>
      <c r="E363" s="2"/>
      <c r="F363" s="22"/>
      <c r="G363" s="4" t="s">
        <v>7</v>
      </c>
      <c r="H363" s="112" t="s">
        <v>1558</v>
      </c>
      <c r="I363" s="4" t="s">
        <v>7</v>
      </c>
      <c r="J363" s="119" t="s">
        <v>1409</v>
      </c>
      <c r="K363" s="2" t="s">
        <v>0</v>
      </c>
      <c r="L363" s="1" t="s">
        <v>738</v>
      </c>
      <c r="M363" s="2"/>
      <c r="N363" s="128"/>
      <c r="O363" s="123">
        <f>3*10^-16</f>
        <v>2.9999999999999999E-16</v>
      </c>
      <c r="P363" s="145">
        <v>2.9999999999999999E-16</v>
      </c>
      <c r="Q363" s="118" t="s">
        <v>1076</v>
      </c>
      <c r="R363" s="1"/>
      <c r="S363" s="1" t="s">
        <v>1049</v>
      </c>
      <c r="T363" s="1"/>
      <c r="U363" s="24" t="s">
        <v>690</v>
      </c>
      <c r="V363" s="116" t="b">
        <f>OR(B363=$V$1,D363=$V$1,B363="2"&amp;$V$1)</f>
        <v>0</v>
      </c>
      <c r="W363" s="1" t="b">
        <f>OR(J363=$W$1,L363=$W$1,N363=$W$1,J363="2"&amp;$W$1,L363="2"&amp;$W$1,N363="2"&amp;$W$1)</f>
        <v>0</v>
      </c>
      <c r="Y363" s="25" t="str">
        <f>B363&amp;" + "&amp;D363&amp;IF(F363&lt;&gt;""," + "&amp;F363,"")&amp;"-&gt;"&amp;J363&amp;" + "&amp;L363&amp;IF(N363&lt;&gt;""," + "&amp;N363,"")</f>
        <v>N2O+ + O4--&gt;2O2 + N2O</v>
      </c>
      <c r="Z363" s="29">
        <f>O363</f>
        <v>2.9999999999999999E-16</v>
      </c>
    </row>
    <row r="364" spans="1:26" ht="22.5" hidden="1" customHeight="1" x14ac:dyDescent="0.25">
      <c r="A364" s="1" t="s">
        <v>371</v>
      </c>
      <c r="B364" s="1" t="s">
        <v>680</v>
      </c>
      <c r="C364" s="2" t="s">
        <v>0</v>
      </c>
      <c r="D364" s="1" t="s">
        <v>1323</v>
      </c>
      <c r="E364" s="2"/>
      <c r="F364" s="22"/>
      <c r="G364" s="4" t="s">
        <v>7</v>
      </c>
      <c r="H364" s="112" t="s">
        <v>1558</v>
      </c>
      <c r="I364" s="4" t="s">
        <v>7</v>
      </c>
      <c r="J364" s="119" t="s">
        <v>653</v>
      </c>
      <c r="K364" s="2" t="s">
        <v>0</v>
      </c>
      <c r="L364" s="1" t="s">
        <v>738</v>
      </c>
      <c r="M364" s="2"/>
      <c r="N364" s="125"/>
      <c r="O364" s="126">
        <f>2*10^-13*(300/Tg)^0.5</f>
        <v>1.9900743804199784E-13</v>
      </c>
      <c r="P364" s="146">
        <v>1.9900743804199784E-13</v>
      </c>
      <c r="Q364" s="118" t="s">
        <v>1166</v>
      </c>
      <c r="R364" s="1"/>
      <c r="S364" s="1" t="s">
        <v>1049</v>
      </c>
      <c r="T364" s="1"/>
      <c r="U364" s="24" t="s">
        <v>756</v>
      </c>
      <c r="V364" s="116" t="b">
        <f>OR(B364=$V$1,D364=$V$1,B364="2"&amp;$V$1)</f>
        <v>0</v>
      </c>
      <c r="W364" s="1" t="b">
        <f>OR(J364=$W$1,L364=$W$1,N364=$W$1,J364="2"&amp;$W$1,L364="2"&amp;$W$1,N364="2"&amp;$W$1)</f>
        <v>0</v>
      </c>
      <c r="Y364" s="25" t="str">
        <f>B364&amp;" + "&amp;D364&amp;IF(F364&lt;&gt;""," + "&amp;F364,"")&amp;"-&gt;"&amp;J364&amp;" + "&amp;L364&amp;IF(N364&lt;&gt;""," + "&amp;N364,"")</f>
        <v>N2O+ + H--&gt;H + N2O</v>
      </c>
      <c r="Z364" s="29">
        <f>O364</f>
        <v>1.9900743804199784E-13</v>
      </c>
    </row>
    <row r="365" spans="1:26" ht="22.5" hidden="1" customHeight="1" x14ac:dyDescent="0.25">
      <c r="A365" s="1" t="s">
        <v>372</v>
      </c>
      <c r="B365" s="1" t="s">
        <v>680</v>
      </c>
      <c r="C365" s="2" t="s">
        <v>0</v>
      </c>
      <c r="D365" s="1" t="s">
        <v>1323</v>
      </c>
      <c r="E365" s="2"/>
      <c r="F365" s="22"/>
      <c r="G365" s="4" t="s">
        <v>7</v>
      </c>
      <c r="H365" s="112" t="s">
        <v>1558</v>
      </c>
      <c r="I365" s="4" t="s">
        <v>7</v>
      </c>
      <c r="J365" s="119" t="s">
        <v>653</v>
      </c>
      <c r="K365" s="2" t="s">
        <v>0</v>
      </c>
      <c r="L365" s="1" t="s">
        <v>689</v>
      </c>
      <c r="M365" s="2" t="s">
        <v>0</v>
      </c>
      <c r="N365" s="125" t="s">
        <v>639</v>
      </c>
      <c r="O365" s="126">
        <f>1*10^-13</f>
        <v>1E-13</v>
      </c>
      <c r="P365" s="146">
        <v>1E-13</v>
      </c>
      <c r="Q365" s="118" t="s">
        <v>1167</v>
      </c>
      <c r="R365" s="1"/>
      <c r="S365" s="1" t="s">
        <v>1049</v>
      </c>
      <c r="T365" s="1"/>
      <c r="U365" s="24" t="s">
        <v>690</v>
      </c>
      <c r="V365" s="116" t="b">
        <f>OR(B365=$V$1,D365=$V$1,B365="2"&amp;$V$1)</f>
        <v>0</v>
      </c>
      <c r="W365" s="1" t="b">
        <f>OR(J365=$W$1,L365=$W$1,N365=$W$1,J365="2"&amp;$W$1,L365="2"&amp;$W$1,N365="2"&amp;$W$1)</f>
        <v>0</v>
      </c>
      <c r="Y365" s="25" t="str">
        <f>B365&amp;" + "&amp;D365&amp;IF(F365&lt;&gt;""," + "&amp;F365,"")&amp;"-&gt;"&amp;J365&amp;" + "&amp;L365&amp;IF(N365&lt;&gt;""," + "&amp;N365,"")</f>
        <v>N2O+ + H--&gt;H + N2 + O</v>
      </c>
      <c r="Z365" s="29">
        <f>O365</f>
        <v>1E-13</v>
      </c>
    </row>
    <row r="366" spans="1:26" ht="22.5" hidden="1" customHeight="1" x14ac:dyDescent="0.25">
      <c r="A366" s="1" t="s">
        <v>373</v>
      </c>
      <c r="B366" s="1" t="s">
        <v>680</v>
      </c>
      <c r="C366" s="2" t="s">
        <v>0</v>
      </c>
      <c r="D366" s="1" t="s">
        <v>1332</v>
      </c>
      <c r="E366" s="2"/>
      <c r="F366" s="22"/>
      <c r="G366" s="4" t="s">
        <v>7</v>
      </c>
      <c r="H366" s="112" t="s">
        <v>1558</v>
      </c>
      <c r="I366" s="4" t="s">
        <v>7</v>
      </c>
      <c r="J366" s="119" t="s">
        <v>654</v>
      </c>
      <c r="K366" s="2" t="s">
        <v>0</v>
      </c>
      <c r="L366" s="1" t="s">
        <v>738</v>
      </c>
      <c r="M366" s="2"/>
      <c r="N366" s="125"/>
      <c r="O366" s="126">
        <f>2*10^-13*(300/Tg)^0.5</f>
        <v>1.9900743804199784E-13</v>
      </c>
      <c r="P366" s="146">
        <v>1.9900743804199784E-13</v>
      </c>
      <c r="Q366" s="118" t="s">
        <v>1166</v>
      </c>
      <c r="R366" s="1"/>
      <c r="S366" s="1" t="s">
        <v>1049</v>
      </c>
      <c r="T366" s="1"/>
      <c r="U366" s="24" t="s">
        <v>756</v>
      </c>
      <c r="V366" s="116" t="b">
        <f>OR(B366=$V$1,D366=$V$1,B366="2"&amp;$V$1)</f>
        <v>0</v>
      </c>
      <c r="W366" s="1" t="b">
        <f>OR(J366=$W$1,L366=$W$1,N366=$W$1,J366="2"&amp;$W$1,L366="2"&amp;$W$1,N366="2"&amp;$W$1)</f>
        <v>0</v>
      </c>
      <c r="Y366" s="25" t="str">
        <f>B366&amp;" + "&amp;D366&amp;IF(F366&lt;&gt;""," + "&amp;F366,"")&amp;"-&gt;"&amp;J366&amp;" + "&amp;L366&amp;IF(N366&lt;&gt;""," + "&amp;N366,"")</f>
        <v>N2O+ + OH--&gt;OH + N2O</v>
      </c>
      <c r="Z366" s="29">
        <f>O366</f>
        <v>1.9900743804199784E-13</v>
      </c>
    </row>
    <row r="367" spans="1:26" ht="22.5" hidden="1" customHeight="1" x14ac:dyDescent="0.25">
      <c r="A367" s="1" t="s">
        <v>374</v>
      </c>
      <c r="B367" s="1" t="s">
        <v>680</v>
      </c>
      <c r="C367" s="2" t="s">
        <v>0</v>
      </c>
      <c r="D367" s="1" t="s">
        <v>1332</v>
      </c>
      <c r="E367" s="2"/>
      <c r="F367" s="22"/>
      <c r="G367" s="4" t="s">
        <v>7</v>
      </c>
      <c r="H367" s="112" t="s">
        <v>1558</v>
      </c>
      <c r="I367" s="4" t="s">
        <v>7</v>
      </c>
      <c r="J367" s="119" t="s">
        <v>654</v>
      </c>
      <c r="K367" s="2" t="s">
        <v>0</v>
      </c>
      <c r="L367" s="1" t="s">
        <v>689</v>
      </c>
      <c r="M367" s="2" t="s">
        <v>0</v>
      </c>
      <c r="N367" s="125" t="s">
        <v>639</v>
      </c>
      <c r="O367" s="126">
        <f>1*10^-13</f>
        <v>1E-13</v>
      </c>
      <c r="P367" s="146">
        <v>1E-13</v>
      </c>
      <c r="Q367" s="118" t="s">
        <v>1167</v>
      </c>
      <c r="R367" s="1"/>
      <c r="S367" s="1" t="s">
        <v>1049</v>
      </c>
      <c r="T367" s="1"/>
      <c r="U367" s="24" t="s">
        <v>690</v>
      </c>
      <c r="V367" s="116" t="b">
        <f>OR(B367=$V$1,D367=$V$1,B367="2"&amp;$V$1)</f>
        <v>0</v>
      </c>
      <c r="W367" s="1" t="b">
        <f>OR(J367=$W$1,L367=$W$1,N367=$W$1,J367="2"&amp;$W$1,L367="2"&amp;$W$1,N367="2"&amp;$W$1)</f>
        <v>0</v>
      </c>
      <c r="Y367" s="25" t="str">
        <f>B367&amp;" + "&amp;D367&amp;IF(F367&lt;&gt;""," + "&amp;F367,"")&amp;"-&gt;"&amp;J367&amp;" + "&amp;L367&amp;IF(N367&lt;&gt;""," + "&amp;N367,"")</f>
        <v>N2O+ + OH--&gt;OH + N2 + O</v>
      </c>
      <c r="Z367" s="29">
        <f>O367</f>
        <v>1E-13</v>
      </c>
    </row>
    <row r="368" spans="1:26" ht="22.5" hidden="1" customHeight="1" x14ac:dyDescent="0.25">
      <c r="A368" s="1" t="s">
        <v>375</v>
      </c>
      <c r="B368" s="1" t="s">
        <v>832</v>
      </c>
      <c r="C368" s="2" t="s">
        <v>0</v>
      </c>
      <c r="D368" s="1" t="s">
        <v>1324</v>
      </c>
      <c r="E368" s="2"/>
      <c r="F368" s="22"/>
      <c r="G368" s="4" t="s">
        <v>7</v>
      </c>
      <c r="H368" s="112" t="s">
        <v>1558</v>
      </c>
      <c r="I368" s="4" t="s">
        <v>7</v>
      </c>
      <c r="J368" s="119" t="s">
        <v>1259</v>
      </c>
      <c r="K368" s="2" t="s">
        <v>0</v>
      </c>
      <c r="L368" s="1" t="s">
        <v>689</v>
      </c>
      <c r="M368" s="2" t="s">
        <v>0</v>
      </c>
      <c r="N368" s="125" t="s">
        <v>636</v>
      </c>
      <c r="O368" s="126">
        <f>1*10^-13</f>
        <v>1E-13</v>
      </c>
      <c r="P368" s="146">
        <v>1E-13</v>
      </c>
      <c r="Q368" s="118" t="s">
        <v>1167</v>
      </c>
      <c r="R368" s="1"/>
      <c r="S368" s="1" t="s">
        <v>1049</v>
      </c>
      <c r="T368" s="1"/>
      <c r="U368" s="24" t="s">
        <v>690</v>
      </c>
      <c r="V368" s="116" t="b">
        <f>OR(B368=$V$1,D368=$V$1,B368="2"&amp;$V$1)</f>
        <v>0</v>
      </c>
      <c r="W368" s="1" t="b">
        <f>OR(J368=$W$1,L368=$W$1,N368=$W$1,J368="2"&amp;$W$1,L368="2"&amp;$W$1,N368="2"&amp;$W$1)</f>
        <v>0</v>
      </c>
      <c r="Y368" s="25" t="str">
        <f>B368&amp;" + "&amp;D368&amp;IF(F368&lt;&gt;""," + "&amp;F368,"")&amp;"-&gt;"&amp;J368&amp;" + "&amp;L368&amp;IF(N368&lt;&gt;""," + "&amp;N368,"")</f>
        <v>N3+ + N2O--&gt;N2O + N2 + N</v>
      </c>
      <c r="Z368" s="29">
        <f>O368</f>
        <v>1E-13</v>
      </c>
    </row>
    <row r="369" spans="1:26" ht="22.5" hidden="1" customHeight="1" x14ac:dyDescent="0.25">
      <c r="A369" s="1" t="s">
        <v>376</v>
      </c>
      <c r="B369" s="1" t="s">
        <v>832</v>
      </c>
      <c r="C369" s="2" t="s">
        <v>0</v>
      </c>
      <c r="D369" s="1" t="s">
        <v>1325</v>
      </c>
      <c r="E369" s="2"/>
      <c r="F369" s="22"/>
      <c r="G369" s="4" t="s">
        <v>7</v>
      </c>
      <c r="H369" s="112" t="s">
        <v>1558</v>
      </c>
      <c r="I369" s="4" t="s">
        <v>7</v>
      </c>
      <c r="J369" s="119" t="s">
        <v>688</v>
      </c>
      <c r="K369" s="2" t="s">
        <v>0</v>
      </c>
      <c r="L369" s="1" t="s">
        <v>689</v>
      </c>
      <c r="M369" s="2" t="s">
        <v>0</v>
      </c>
      <c r="N369" s="125" t="s">
        <v>636</v>
      </c>
      <c r="O369" s="126">
        <f>1*10^-13</f>
        <v>1E-13</v>
      </c>
      <c r="P369" s="146">
        <v>1E-13</v>
      </c>
      <c r="Q369" s="118" t="s">
        <v>1167</v>
      </c>
      <c r="R369" s="1"/>
      <c r="S369" s="1" t="s">
        <v>1049</v>
      </c>
      <c r="T369" s="1"/>
      <c r="U369" s="24" t="s">
        <v>690</v>
      </c>
      <c r="V369" s="116" t="b">
        <f>OR(B369=$V$1,D369=$V$1,B369="2"&amp;$V$1)</f>
        <v>0</v>
      </c>
      <c r="W369" s="1" t="b">
        <f>OR(J369=$W$1,L369=$W$1,N369=$W$1,J369="2"&amp;$W$1,L369="2"&amp;$W$1,N369="2"&amp;$W$1)</f>
        <v>0</v>
      </c>
      <c r="Y369" s="25" t="str">
        <f>B369&amp;" + "&amp;D369&amp;IF(F369&lt;&gt;""," + "&amp;F369,"")&amp;"-&gt;"&amp;J369&amp;" + "&amp;L369&amp;IF(N369&lt;&gt;""," + "&amp;N369,"")</f>
        <v>N3+ + NO--&gt;NO + N2 + N</v>
      </c>
      <c r="Z369" s="29">
        <f>O369</f>
        <v>1E-13</v>
      </c>
    </row>
    <row r="370" spans="1:26" ht="22.5" hidden="1" customHeight="1" x14ac:dyDescent="0.25">
      <c r="A370" s="1" t="s">
        <v>377</v>
      </c>
      <c r="B370" s="1" t="s">
        <v>832</v>
      </c>
      <c r="C370" s="2" t="s">
        <v>0</v>
      </c>
      <c r="D370" s="1" t="s">
        <v>1326</v>
      </c>
      <c r="E370" s="2"/>
      <c r="F370" s="22"/>
      <c r="G370" s="4" t="s">
        <v>7</v>
      </c>
      <c r="H370" s="112" t="s">
        <v>1558</v>
      </c>
      <c r="I370" s="4" t="s">
        <v>7</v>
      </c>
      <c r="J370" s="119" t="s">
        <v>1261</v>
      </c>
      <c r="K370" s="2" t="s">
        <v>0</v>
      </c>
      <c r="L370" s="1" t="s">
        <v>689</v>
      </c>
      <c r="M370" s="2" t="s">
        <v>0</v>
      </c>
      <c r="N370" s="125" t="s">
        <v>636</v>
      </c>
      <c r="O370" s="126">
        <f>1*10^-13</f>
        <v>1E-13</v>
      </c>
      <c r="P370" s="146">
        <v>1E-13</v>
      </c>
      <c r="Q370" s="118" t="s">
        <v>1167</v>
      </c>
      <c r="R370" s="1"/>
      <c r="S370" s="1" t="s">
        <v>1049</v>
      </c>
      <c r="T370" s="1"/>
      <c r="U370" s="24" t="s">
        <v>690</v>
      </c>
      <c r="V370" s="116" t="b">
        <f>OR(B370=$V$1,D370=$V$1,B370="2"&amp;$V$1)</f>
        <v>0</v>
      </c>
      <c r="W370" s="1" t="b">
        <f>OR(J370=$W$1,L370=$W$1,N370=$W$1,J370="2"&amp;$W$1,L370="2"&amp;$W$1,N370="2"&amp;$W$1)</f>
        <v>1</v>
      </c>
      <c r="Y370" s="25" t="str">
        <f>B370&amp;" + "&amp;D370&amp;IF(F370&lt;&gt;""," + "&amp;F370,"")&amp;"-&gt;"&amp;J370&amp;" + "&amp;L370&amp;IF(N370&lt;&gt;""," + "&amp;N370,"")</f>
        <v>N3+ + NO2--&gt;NO2 + N2 + N</v>
      </c>
      <c r="Z370" s="29">
        <f>O370</f>
        <v>1E-13</v>
      </c>
    </row>
    <row r="371" spans="1:26" ht="22.5" hidden="1" customHeight="1" x14ac:dyDescent="0.25">
      <c r="A371" s="1" t="s">
        <v>378</v>
      </c>
      <c r="B371" s="1" t="s">
        <v>832</v>
      </c>
      <c r="C371" s="2" t="s">
        <v>0</v>
      </c>
      <c r="D371" s="1" t="s">
        <v>1327</v>
      </c>
      <c r="E371" s="2"/>
      <c r="F371" s="22"/>
      <c r="G371" s="4" t="s">
        <v>7</v>
      </c>
      <c r="H371" s="112" t="s">
        <v>1558</v>
      </c>
      <c r="I371" s="4" t="s">
        <v>7</v>
      </c>
      <c r="J371" s="119" t="s">
        <v>1263</v>
      </c>
      <c r="K371" s="2" t="s">
        <v>0</v>
      </c>
      <c r="L371" s="1" t="s">
        <v>689</v>
      </c>
      <c r="M371" s="2" t="s">
        <v>0</v>
      </c>
      <c r="N371" s="125" t="s">
        <v>636</v>
      </c>
      <c r="O371" s="126">
        <f>1*10^-13</f>
        <v>1E-13</v>
      </c>
      <c r="P371" s="146">
        <v>1E-13</v>
      </c>
      <c r="Q371" s="118" t="s">
        <v>1167</v>
      </c>
      <c r="R371" s="1"/>
      <c r="S371" s="1" t="s">
        <v>1049</v>
      </c>
      <c r="T371" s="1"/>
      <c r="U371" s="24" t="s">
        <v>690</v>
      </c>
      <c r="V371" s="116" t="b">
        <f>OR(B371=$V$1,D371=$V$1,B371="2"&amp;$V$1)</f>
        <v>0</v>
      </c>
      <c r="W371" s="1" t="b">
        <f>OR(J371=$W$1,L371=$W$1,N371=$W$1,J371="2"&amp;$W$1,L371="2"&amp;$W$1,N371="2"&amp;$W$1)</f>
        <v>0</v>
      </c>
      <c r="Y371" s="25" t="str">
        <f>B371&amp;" + "&amp;D371&amp;IF(F371&lt;&gt;""," + "&amp;F371,"")&amp;"-&gt;"&amp;J371&amp;" + "&amp;L371&amp;IF(N371&lt;&gt;""," + "&amp;N371,"")</f>
        <v>N3+ + NO3--&gt;NO3 + N2 + N</v>
      </c>
      <c r="Z371" s="29">
        <f>O371</f>
        <v>1E-13</v>
      </c>
    </row>
    <row r="372" spans="1:26" ht="22.5" hidden="1" customHeight="1" x14ac:dyDescent="0.25">
      <c r="A372" s="1" t="s">
        <v>379</v>
      </c>
      <c r="B372" s="1" t="s">
        <v>832</v>
      </c>
      <c r="C372" s="2" t="s">
        <v>0</v>
      </c>
      <c r="D372" s="1" t="s">
        <v>1328</v>
      </c>
      <c r="E372" s="2"/>
      <c r="F372" s="22"/>
      <c r="G372" s="4" t="s">
        <v>7</v>
      </c>
      <c r="H372" s="112" t="s">
        <v>1558</v>
      </c>
      <c r="I372" s="4" t="s">
        <v>7</v>
      </c>
      <c r="J372" s="119" t="s">
        <v>639</v>
      </c>
      <c r="K372" s="2" t="s">
        <v>0</v>
      </c>
      <c r="L372" s="1" t="s">
        <v>689</v>
      </c>
      <c r="M372" s="2" t="s">
        <v>0</v>
      </c>
      <c r="N372" s="125" t="s">
        <v>636</v>
      </c>
      <c r="O372" s="126">
        <f>1*10^-13</f>
        <v>1E-13</v>
      </c>
      <c r="P372" s="146">
        <v>1E-13</v>
      </c>
      <c r="Q372" s="118" t="s">
        <v>1167</v>
      </c>
      <c r="R372" s="1"/>
      <c r="S372" s="1" t="s">
        <v>1049</v>
      </c>
      <c r="T372" s="1"/>
      <c r="U372" s="24" t="s">
        <v>690</v>
      </c>
      <c r="V372" s="116" t="b">
        <f>OR(B372=$V$1,D372=$V$1,B372="2"&amp;$V$1)</f>
        <v>0</v>
      </c>
      <c r="W372" s="1" t="b">
        <f>OR(J372=$W$1,L372=$W$1,N372=$W$1,J372="2"&amp;$W$1,L372="2"&amp;$W$1,N372="2"&amp;$W$1)</f>
        <v>0</v>
      </c>
      <c r="Y372" s="25" t="str">
        <f>B372&amp;" + "&amp;D372&amp;IF(F372&lt;&gt;""," + "&amp;F372,"")&amp;"-&gt;"&amp;J372&amp;" + "&amp;L372&amp;IF(N372&lt;&gt;""," + "&amp;N372,"")</f>
        <v>N3+ + O--&gt;O + N2 + N</v>
      </c>
      <c r="Z372" s="29">
        <f>O372</f>
        <v>1E-13</v>
      </c>
    </row>
    <row r="373" spans="1:26" ht="22.5" hidden="1" customHeight="1" x14ac:dyDescent="0.25">
      <c r="A373" s="1" t="s">
        <v>380</v>
      </c>
      <c r="B373" s="1" t="s">
        <v>832</v>
      </c>
      <c r="C373" s="2" t="s">
        <v>0</v>
      </c>
      <c r="D373" s="1" t="s">
        <v>1329</v>
      </c>
      <c r="E373" s="2"/>
      <c r="F373" s="22"/>
      <c r="G373" s="4" t="s">
        <v>7</v>
      </c>
      <c r="H373" s="112" t="s">
        <v>1558</v>
      </c>
      <c r="I373" s="4" t="s">
        <v>7</v>
      </c>
      <c r="J373" s="119" t="s">
        <v>637</v>
      </c>
      <c r="K373" s="2" t="s">
        <v>0</v>
      </c>
      <c r="L373" s="1" t="s">
        <v>689</v>
      </c>
      <c r="M373" s="2" t="s">
        <v>0</v>
      </c>
      <c r="N373" s="125" t="s">
        <v>636</v>
      </c>
      <c r="O373" s="126">
        <f>1*10^-13</f>
        <v>1E-13</v>
      </c>
      <c r="P373" s="146">
        <v>1E-13</v>
      </c>
      <c r="Q373" s="118" t="s">
        <v>1167</v>
      </c>
      <c r="R373" s="1"/>
      <c r="S373" s="1" t="s">
        <v>1049</v>
      </c>
      <c r="T373" s="1"/>
      <c r="U373" s="24" t="s">
        <v>690</v>
      </c>
      <c r="V373" s="116" t="b">
        <f>OR(B373=$V$1,D373=$V$1,B373="2"&amp;$V$1)</f>
        <v>0</v>
      </c>
      <c r="W373" s="1" t="b">
        <f>OR(J373=$W$1,L373=$W$1,N373=$W$1,J373="2"&amp;$W$1,L373="2"&amp;$W$1,N373="2"&amp;$W$1)</f>
        <v>0</v>
      </c>
      <c r="Y373" s="25" t="str">
        <f>B373&amp;" + "&amp;D373&amp;IF(F373&lt;&gt;""," + "&amp;F373,"")&amp;"-&gt;"&amp;J373&amp;" + "&amp;L373&amp;IF(N373&lt;&gt;""," + "&amp;N373,"")</f>
        <v>N3+ + O2--&gt;O2 + N2 + N</v>
      </c>
      <c r="Z373" s="29">
        <f>O373</f>
        <v>1E-13</v>
      </c>
    </row>
    <row r="374" spans="1:26" ht="22.5" hidden="1" customHeight="1" x14ac:dyDescent="0.25">
      <c r="A374" s="1" t="s">
        <v>381</v>
      </c>
      <c r="B374" s="1" t="s">
        <v>832</v>
      </c>
      <c r="C374" s="2" t="s">
        <v>0</v>
      </c>
      <c r="D374" s="1" t="s">
        <v>1330</v>
      </c>
      <c r="E374" s="2"/>
      <c r="F374" s="22"/>
      <c r="G374" s="4" t="s">
        <v>7</v>
      </c>
      <c r="H374" s="112" t="s">
        <v>1558</v>
      </c>
      <c r="I374" s="4" t="s">
        <v>7</v>
      </c>
      <c r="J374" s="119" t="s">
        <v>638</v>
      </c>
      <c r="K374" s="2" t="s">
        <v>0</v>
      </c>
      <c r="L374" s="1" t="s">
        <v>689</v>
      </c>
      <c r="M374" s="2" t="s">
        <v>0</v>
      </c>
      <c r="N374" s="125" t="s">
        <v>636</v>
      </c>
      <c r="O374" s="126">
        <f>1*10^-13</f>
        <v>1E-13</v>
      </c>
      <c r="P374" s="146">
        <v>1E-13</v>
      </c>
      <c r="Q374" s="118" t="s">
        <v>1167</v>
      </c>
      <c r="R374" s="1"/>
      <c r="S374" s="1" t="s">
        <v>1049</v>
      </c>
      <c r="T374" s="1"/>
      <c r="U374" s="24" t="s">
        <v>690</v>
      </c>
      <c r="V374" s="116" t="b">
        <f>OR(B374=$V$1,D374=$V$1,B374="2"&amp;$V$1)</f>
        <v>0</v>
      </c>
      <c r="W374" s="1" t="b">
        <f>OR(J374=$W$1,L374=$W$1,N374=$W$1,J374="2"&amp;$W$1,L374="2"&amp;$W$1,N374="2"&amp;$W$1)</f>
        <v>0</v>
      </c>
      <c r="Y374" s="25" t="str">
        <f>B374&amp;" + "&amp;D374&amp;IF(F374&lt;&gt;""," + "&amp;F374,"")&amp;"-&gt;"&amp;J374&amp;" + "&amp;L374&amp;IF(N374&lt;&gt;""," + "&amp;N374,"")</f>
        <v>N3+ + O3--&gt;O3 + N2 + N</v>
      </c>
      <c r="Z374" s="29">
        <f>O374</f>
        <v>1E-13</v>
      </c>
    </row>
    <row r="375" spans="1:26" ht="22.5" hidden="1" customHeight="1" x14ac:dyDescent="0.25">
      <c r="A375" s="1" t="s">
        <v>382</v>
      </c>
      <c r="B375" s="1" t="s">
        <v>832</v>
      </c>
      <c r="C375" s="2" t="s">
        <v>0</v>
      </c>
      <c r="D375" s="1" t="s">
        <v>1331</v>
      </c>
      <c r="E375" s="2"/>
      <c r="F375" s="22"/>
      <c r="G375" s="4" t="s">
        <v>7</v>
      </c>
      <c r="H375" s="112" t="s">
        <v>1558</v>
      </c>
      <c r="I375" s="4" t="s">
        <v>7</v>
      </c>
      <c r="J375" s="119" t="s">
        <v>1409</v>
      </c>
      <c r="K375" s="2" t="s">
        <v>0</v>
      </c>
      <c r="L375" s="1" t="s">
        <v>689</v>
      </c>
      <c r="M375" s="2" t="s">
        <v>0</v>
      </c>
      <c r="N375" s="125" t="s">
        <v>636</v>
      </c>
      <c r="O375" s="126">
        <f>1*10^-13</f>
        <v>1E-13</v>
      </c>
      <c r="P375" s="146">
        <v>1E-13</v>
      </c>
      <c r="Q375" s="118" t="s">
        <v>1167</v>
      </c>
      <c r="R375" s="1"/>
      <c r="S375" s="1" t="s">
        <v>1049</v>
      </c>
      <c r="T375" s="1"/>
      <c r="U375" s="24" t="s">
        <v>690</v>
      </c>
      <c r="V375" s="116" t="b">
        <f>OR(B375=$V$1,D375=$V$1,B375="2"&amp;$V$1)</f>
        <v>0</v>
      </c>
      <c r="W375" s="1" t="b">
        <f>OR(J375=$W$1,L375=$W$1,N375=$W$1,J375="2"&amp;$W$1,L375="2"&amp;$W$1,N375="2"&amp;$W$1)</f>
        <v>0</v>
      </c>
      <c r="Y375" s="25" t="str">
        <f>B375&amp;" + "&amp;D375&amp;IF(F375&lt;&gt;""," + "&amp;F375,"")&amp;"-&gt;"&amp;J375&amp;" + "&amp;L375&amp;IF(N375&lt;&gt;""," + "&amp;N375,"")</f>
        <v>N3+ + O4--&gt;2O2 + N2 + N</v>
      </c>
      <c r="Z375" s="29">
        <f>O375</f>
        <v>1E-13</v>
      </c>
    </row>
    <row r="376" spans="1:26" ht="22.5" hidden="1" customHeight="1" x14ac:dyDescent="0.25">
      <c r="A376" s="1" t="s">
        <v>383</v>
      </c>
      <c r="B376" s="1" t="s">
        <v>832</v>
      </c>
      <c r="C376" s="2" t="s">
        <v>0</v>
      </c>
      <c r="D376" s="1" t="s">
        <v>1323</v>
      </c>
      <c r="E376" s="2"/>
      <c r="F376" s="22"/>
      <c r="G376" s="4" t="s">
        <v>7</v>
      </c>
      <c r="H376" s="112" t="s">
        <v>1558</v>
      </c>
      <c r="I376" s="4" t="s">
        <v>7</v>
      </c>
      <c r="J376" s="119" t="s">
        <v>653</v>
      </c>
      <c r="K376" s="2" t="s">
        <v>0</v>
      </c>
      <c r="L376" s="1" t="s">
        <v>689</v>
      </c>
      <c r="M376" s="2" t="s">
        <v>0</v>
      </c>
      <c r="N376" s="125" t="s">
        <v>636</v>
      </c>
      <c r="O376" s="126">
        <f>1*10^-13</f>
        <v>1E-13</v>
      </c>
      <c r="P376" s="146">
        <v>1E-13</v>
      </c>
      <c r="Q376" s="118" t="s">
        <v>1167</v>
      </c>
      <c r="R376" s="1"/>
      <c r="S376" s="1" t="s">
        <v>1049</v>
      </c>
      <c r="T376" s="1"/>
      <c r="U376" s="24" t="s">
        <v>703</v>
      </c>
      <c r="V376" s="116" t="b">
        <f>OR(B376=$V$1,D376=$V$1,B376="2"&amp;$V$1)</f>
        <v>0</v>
      </c>
      <c r="W376" s="1" t="b">
        <f>OR(J376=$W$1,L376=$W$1,N376=$W$1,J376="2"&amp;$W$1,L376="2"&amp;$W$1,N376="2"&amp;$W$1)</f>
        <v>0</v>
      </c>
      <c r="Y376" s="25" t="str">
        <f>B376&amp;" + "&amp;D376&amp;IF(F376&lt;&gt;""," + "&amp;F376,"")&amp;"-&gt;"&amp;J376&amp;" + "&amp;L376&amp;IF(N376&lt;&gt;""," + "&amp;N376,"")</f>
        <v>N3+ + H--&gt;H + N2 + N</v>
      </c>
      <c r="Z376" s="29">
        <f>O376</f>
        <v>1E-13</v>
      </c>
    </row>
    <row r="377" spans="1:26" ht="22.5" hidden="1" customHeight="1" x14ac:dyDescent="0.25">
      <c r="A377" s="1" t="s">
        <v>384</v>
      </c>
      <c r="B377" s="1" t="s">
        <v>832</v>
      </c>
      <c r="C377" s="2" t="s">
        <v>0</v>
      </c>
      <c r="D377" s="1" t="s">
        <v>1332</v>
      </c>
      <c r="E377" s="2"/>
      <c r="F377" s="22"/>
      <c r="G377" s="4" t="s">
        <v>7</v>
      </c>
      <c r="H377" s="112" t="s">
        <v>1558</v>
      </c>
      <c r="I377" s="4" t="s">
        <v>7</v>
      </c>
      <c r="J377" s="119" t="s">
        <v>654</v>
      </c>
      <c r="K377" s="2" t="s">
        <v>0</v>
      </c>
      <c r="L377" s="1" t="s">
        <v>689</v>
      </c>
      <c r="M377" s="2" t="s">
        <v>0</v>
      </c>
      <c r="N377" s="125" t="s">
        <v>636</v>
      </c>
      <c r="O377" s="126">
        <f>1*10^-13</f>
        <v>1E-13</v>
      </c>
      <c r="P377" s="146">
        <v>1E-13</v>
      </c>
      <c r="Q377" s="118" t="s">
        <v>1167</v>
      </c>
      <c r="R377" s="1"/>
      <c r="S377" s="1" t="s">
        <v>1049</v>
      </c>
      <c r="T377" s="1"/>
      <c r="U377" s="24" t="s">
        <v>703</v>
      </c>
      <c r="V377" s="116" t="b">
        <f>OR(B377=$V$1,D377=$V$1,B377="2"&amp;$V$1)</f>
        <v>0</v>
      </c>
      <c r="W377" s="1" t="b">
        <f>OR(J377=$W$1,L377=$W$1,N377=$W$1,J377="2"&amp;$W$1,L377="2"&amp;$W$1,N377="2"&amp;$W$1)</f>
        <v>0</v>
      </c>
      <c r="Y377" s="25" t="str">
        <f>B377&amp;" + "&amp;D377&amp;IF(F377&lt;&gt;""," + "&amp;F377,"")&amp;"-&gt;"&amp;J377&amp;" + "&amp;L377&amp;IF(N377&lt;&gt;""," + "&amp;N377,"")</f>
        <v>N3+ + OH--&gt;OH + N2 + N</v>
      </c>
      <c r="Z377" s="29">
        <f>O377</f>
        <v>1E-13</v>
      </c>
    </row>
    <row r="378" spans="1:26" ht="22.5" hidden="1" customHeight="1" x14ac:dyDescent="0.25">
      <c r="A378" s="1" t="s">
        <v>385</v>
      </c>
      <c r="B378" s="1" t="s">
        <v>833</v>
      </c>
      <c r="C378" s="2" t="s">
        <v>0</v>
      </c>
      <c r="D378" s="1" t="s">
        <v>1324</v>
      </c>
      <c r="E378" s="2"/>
      <c r="F378" s="22"/>
      <c r="G378" s="4" t="s">
        <v>7</v>
      </c>
      <c r="H378" s="112" t="s">
        <v>1558</v>
      </c>
      <c r="I378" s="4" t="s">
        <v>7</v>
      </c>
      <c r="J378" s="119" t="s">
        <v>1259</v>
      </c>
      <c r="K378" s="2" t="s">
        <v>0</v>
      </c>
      <c r="L378" s="1" t="s">
        <v>1410</v>
      </c>
      <c r="M378" s="2"/>
      <c r="N378" s="128"/>
      <c r="O378" s="126">
        <f>1*10^-13</f>
        <v>1E-13</v>
      </c>
      <c r="P378" s="146">
        <v>1E-13</v>
      </c>
      <c r="Q378" s="118" t="s">
        <v>1167</v>
      </c>
      <c r="R378" s="1"/>
      <c r="S378" s="1" t="s">
        <v>1049</v>
      </c>
      <c r="T378" s="1"/>
      <c r="U378" s="24" t="s">
        <v>690</v>
      </c>
      <c r="V378" s="116" t="b">
        <f>OR(B378=$V$1,D378=$V$1,B378="2"&amp;$V$1)</f>
        <v>0</v>
      </c>
      <c r="W378" s="1" t="b">
        <f>OR(J378=$W$1,L378=$W$1,N378=$W$1,J378="2"&amp;$W$1,L378="2"&amp;$W$1,N378="2"&amp;$W$1)</f>
        <v>0</v>
      </c>
      <c r="Y378" s="25" t="str">
        <f>B378&amp;" + "&amp;D378&amp;IF(F378&lt;&gt;""," + "&amp;F378,"")&amp;"-&gt;"&amp;J378&amp;" + "&amp;L378&amp;IF(N378&lt;&gt;""," + "&amp;N378,"")</f>
        <v>N4+ + N2O--&gt;N2O + 2N2</v>
      </c>
      <c r="Z378" s="29">
        <f>O378</f>
        <v>1E-13</v>
      </c>
    </row>
    <row r="379" spans="1:26" ht="22.5" hidden="1" customHeight="1" x14ac:dyDescent="0.25">
      <c r="A379" s="1" t="s">
        <v>386</v>
      </c>
      <c r="B379" s="1" t="s">
        <v>833</v>
      </c>
      <c r="C379" s="2" t="s">
        <v>0</v>
      </c>
      <c r="D379" s="1" t="s">
        <v>1325</v>
      </c>
      <c r="E379" s="2"/>
      <c r="F379" s="22"/>
      <c r="G379" s="4" t="s">
        <v>7</v>
      </c>
      <c r="H379" s="112" t="s">
        <v>1558</v>
      </c>
      <c r="I379" s="4" t="s">
        <v>7</v>
      </c>
      <c r="J379" s="119" t="s">
        <v>688</v>
      </c>
      <c r="K379" s="2" t="s">
        <v>0</v>
      </c>
      <c r="L379" s="1" t="s">
        <v>1410</v>
      </c>
      <c r="M379" s="2"/>
      <c r="N379" s="128"/>
      <c r="O379" s="126">
        <f>1*10^-13</f>
        <v>1E-13</v>
      </c>
      <c r="P379" s="146">
        <v>1E-13</v>
      </c>
      <c r="Q379" s="118" t="s">
        <v>1167</v>
      </c>
      <c r="R379" s="1"/>
      <c r="S379" s="1" t="s">
        <v>1049</v>
      </c>
      <c r="T379" s="1"/>
      <c r="U379" s="24" t="s">
        <v>690</v>
      </c>
      <c r="V379" s="116" t="b">
        <f>OR(B379=$V$1,D379=$V$1,B379="2"&amp;$V$1)</f>
        <v>0</v>
      </c>
      <c r="W379" s="1" t="b">
        <f>OR(J379=$W$1,L379=$W$1,N379=$W$1,J379="2"&amp;$W$1,L379="2"&amp;$W$1,N379="2"&amp;$W$1)</f>
        <v>0</v>
      </c>
      <c r="Y379" s="25" t="str">
        <f>B379&amp;" + "&amp;D379&amp;IF(F379&lt;&gt;""," + "&amp;F379,"")&amp;"-&gt;"&amp;J379&amp;" + "&amp;L379&amp;IF(N379&lt;&gt;""," + "&amp;N379,"")</f>
        <v>N4+ + NO--&gt;NO + 2N2</v>
      </c>
      <c r="Z379" s="29">
        <f>O379</f>
        <v>1E-13</v>
      </c>
    </row>
    <row r="380" spans="1:26" ht="22.5" hidden="1" customHeight="1" x14ac:dyDescent="0.25">
      <c r="A380" s="1" t="s">
        <v>387</v>
      </c>
      <c r="B380" s="1" t="s">
        <v>833</v>
      </c>
      <c r="C380" s="2" t="s">
        <v>0</v>
      </c>
      <c r="D380" s="1" t="s">
        <v>1326</v>
      </c>
      <c r="E380" s="2"/>
      <c r="F380" s="22"/>
      <c r="G380" s="4" t="s">
        <v>7</v>
      </c>
      <c r="H380" s="112" t="s">
        <v>1558</v>
      </c>
      <c r="I380" s="4" t="s">
        <v>7</v>
      </c>
      <c r="J380" s="119" t="s">
        <v>1261</v>
      </c>
      <c r="K380" s="2" t="s">
        <v>0</v>
      </c>
      <c r="L380" s="1" t="s">
        <v>1410</v>
      </c>
      <c r="M380" s="2"/>
      <c r="N380" s="128"/>
      <c r="O380" s="126">
        <f>1*10^-13</f>
        <v>1E-13</v>
      </c>
      <c r="P380" s="146">
        <v>1E-13</v>
      </c>
      <c r="Q380" s="118" t="s">
        <v>1167</v>
      </c>
      <c r="R380" s="1"/>
      <c r="S380" s="1" t="s">
        <v>1049</v>
      </c>
      <c r="T380" s="1"/>
      <c r="U380" s="24" t="s">
        <v>690</v>
      </c>
      <c r="V380" s="116" t="b">
        <f>OR(B380=$V$1,D380=$V$1,B380="2"&amp;$V$1)</f>
        <v>0</v>
      </c>
      <c r="W380" s="1" t="b">
        <f>OR(J380=$W$1,L380=$W$1,N380=$W$1,J380="2"&amp;$W$1,L380="2"&amp;$W$1,N380="2"&amp;$W$1)</f>
        <v>1</v>
      </c>
      <c r="Y380" s="25" t="str">
        <f>B380&amp;" + "&amp;D380&amp;IF(F380&lt;&gt;""," + "&amp;F380,"")&amp;"-&gt;"&amp;J380&amp;" + "&amp;L380&amp;IF(N380&lt;&gt;""," + "&amp;N380,"")</f>
        <v>N4+ + NO2--&gt;NO2 + 2N2</v>
      </c>
      <c r="Z380" s="29">
        <f>O380</f>
        <v>1E-13</v>
      </c>
    </row>
    <row r="381" spans="1:26" ht="22.5" hidden="1" customHeight="1" x14ac:dyDescent="0.25">
      <c r="A381" s="1" t="s">
        <v>388</v>
      </c>
      <c r="B381" s="1" t="s">
        <v>833</v>
      </c>
      <c r="C381" s="2" t="s">
        <v>0</v>
      </c>
      <c r="D381" s="1" t="s">
        <v>1327</v>
      </c>
      <c r="E381" s="2"/>
      <c r="F381" s="22"/>
      <c r="G381" s="4" t="s">
        <v>7</v>
      </c>
      <c r="H381" s="112" t="s">
        <v>1558</v>
      </c>
      <c r="I381" s="4" t="s">
        <v>7</v>
      </c>
      <c r="J381" s="119" t="s">
        <v>1263</v>
      </c>
      <c r="K381" s="2" t="s">
        <v>0</v>
      </c>
      <c r="L381" s="1" t="s">
        <v>1410</v>
      </c>
      <c r="M381" s="2"/>
      <c r="N381" s="128"/>
      <c r="O381" s="126">
        <f>1*10^-13</f>
        <v>1E-13</v>
      </c>
      <c r="P381" s="146">
        <v>1E-13</v>
      </c>
      <c r="Q381" s="118" t="s">
        <v>1167</v>
      </c>
      <c r="R381" s="1"/>
      <c r="S381" s="1" t="s">
        <v>1049</v>
      </c>
      <c r="T381" s="1"/>
      <c r="U381" s="24" t="s">
        <v>690</v>
      </c>
      <c r="V381" s="116" t="b">
        <f>OR(B381=$V$1,D381=$V$1,B381="2"&amp;$V$1)</f>
        <v>0</v>
      </c>
      <c r="W381" s="1" t="b">
        <f>OR(J381=$W$1,L381=$W$1,N381=$W$1,J381="2"&amp;$W$1,L381="2"&amp;$W$1,N381="2"&amp;$W$1)</f>
        <v>0</v>
      </c>
      <c r="Y381" s="25" t="str">
        <f>B381&amp;" + "&amp;D381&amp;IF(F381&lt;&gt;""," + "&amp;F381,"")&amp;"-&gt;"&amp;J381&amp;" + "&amp;L381&amp;IF(N381&lt;&gt;""," + "&amp;N381,"")</f>
        <v>N4+ + NO3--&gt;NO3 + 2N2</v>
      </c>
      <c r="Z381" s="29">
        <f>O381</f>
        <v>1E-13</v>
      </c>
    </row>
    <row r="382" spans="1:26" ht="22.5" hidden="1" customHeight="1" x14ac:dyDescent="0.25">
      <c r="A382" s="1" t="s">
        <v>389</v>
      </c>
      <c r="B382" s="1" t="s">
        <v>833</v>
      </c>
      <c r="C382" s="2" t="s">
        <v>0</v>
      </c>
      <c r="D382" s="1" t="s">
        <v>1328</v>
      </c>
      <c r="E382" s="2"/>
      <c r="F382" s="22"/>
      <c r="G382" s="4" t="s">
        <v>7</v>
      </c>
      <c r="H382" s="112" t="s">
        <v>1558</v>
      </c>
      <c r="I382" s="4" t="s">
        <v>7</v>
      </c>
      <c r="J382" s="119" t="s">
        <v>639</v>
      </c>
      <c r="K382" s="2" t="s">
        <v>0</v>
      </c>
      <c r="L382" s="1" t="s">
        <v>1410</v>
      </c>
      <c r="M382" s="2"/>
      <c r="N382" s="128"/>
      <c r="O382" s="126">
        <f>1*10^-13</f>
        <v>1E-13</v>
      </c>
      <c r="P382" s="146">
        <v>1E-13</v>
      </c>
      <c r="Q382" s="118" t="s">
        <v>1167</v>
      </c>
      <c r="R382" s="1"/>
      <c r="S382" s="1" t="s">
        <v>1049</v>
      </c>
      <c r="T382" s="1"/>
      <c r="U382" s="24" t="s">
        <v>690</v>
      </c>
      <c r="V382" s="116" t="b">
        <f>OR(B382=$V$1,D382=$V$1,B382="2"&amp;$V$1)</f>
        <v>0</v>
      </c>
      <c r="W382" s="1" t="b">
        <f>OR(J382=$W$1,L382=$W$1,N382=$W$1,J382="2"&amp;$W$1,L382="2"&amp;$W$1,N382="2"&amp;$W$1)</f>
        <v>0</v>
      </c>
      <c r="Y382" s="25" t="str">
        <f>B382&amp;" + "&amp;D382&amp;IF(F382&lt;&gt;""," + "&amp;F382,"")&amp;"-&gt;"&amp;J382&amp;" + "&amp;L382&amp;IF(N382&lt;&gt;""," + "&amp;N382,"")</f>
        <v>N4+ + O--&gt;O + 2N2</v>
      </c>
      <c r="Z382" s="29">
        <f>O382</f>
        <v>1E-13</v>
      </c>
    </row>
    <row r="383" spans="1:26" ht="22.5" hidden="1" customHeight="1" x14ac:dyDescent="0.25">
      <c r="A383" s="1" t="s">
        <v>390</v>
      </c>
      <c r="B383" s="1" t="s">
        <v>833</v>
      </c>
      <c r="C383" s="2" t="s">
        <v>0</v>
      </c>
      <c r="D383" s="1" t="s">
        <v>1329</v>
      </c>
      <c r="E383" s="2"/>
      <c r="F383" s="22"/>
      <c r="G383" s="4" t="s">
        <v>7</v>
      </c>
      <c r="H383" s="112" t="s">
        <v>1558</v>
      </c>
      <c r="I383" s="4" t="s">
        <v>7</v>
      </c>
      <c r="J383" s="119" t="s">
        <v>637</v>
      </c>
      <c r="K383" s="2" t="s">
        <v>0</v>
      </c>
      <c r="L383" s="1" t="s">
        <v>1410</v>
      </c>
      <c r="M383" s="2"/>
      <c r="N383" s="128"/>
      <c r="O383" s="126">
        <f>1*10^-13</f>
        <v>1E-13</v>
      </c>
      <c r="P383" s="146">
        <v>1E-13</v>
      </c>
      <c r="Q383" s="118" t="s">
        <v>1167</v>
      </c>
      <c r="R383" s="1"/>
      <c r="S383" s="1" t="s">
        <v>1049</v>
      </c>
      <c r="T383" s="1"/>
      <c r="U383" s="24" t="s">
        <v>756</v>
      </c>
      <c r="V383" s="116" t="b">
        <f>OR(B383=$V$1,D383=$V$1,B383="2"&amp;$V$1)</f>
        <v>0</v>
      </c>
      <c r="W383" s="1" t="b">
        <f>OR(J383=$W$1,L383=$W$1,N383=$W$1,J383="2"&amp;$W$1,L383="2"&amp;$W$1,N383="2"&amp;$W$1)</f>
        <v>0</v>
      </c>
      <c r="Y383" s="25" t="str">
        <f>B383&amp;" + "&amp;D383&amp;IF(F383&lt;&gt;""," + "&amp;F383,"")&amp;"-&gt;"&amp;J383&amp;" + "&amp;L383&amp;IF(N383&lt;&gt;""," + "&amp;N383,"")</f>
        <v>N4+ + O2--&gt;O2 + 2N2</v>
      </c>
      <c r="Z383" s="29">
        <f>O383</f>
        <v>1E-13</v>
      </c>
    </row>
    <row r="384" spans="1:26" ht="22.5" hidden="1" customHeight="1" x14ac:dyDescent="0.25">
      <c r="A384" s="1" t="s">
        <v>391</v>
      </c>
      <c r="B384" s="1" t="s">
        <v>833</v>
      </c>
      <c r="C384" s="2" t="s">
        <v>0</v>
      </c>
      <c r="D384" s="1" t="s">
        <v>1330</v>
      </c>
      <c r="E384" s="2"/>
      <c r="F384" s="22"/>
      <c r="G384" s="4" t="s">
        <v>7</v>
      </c>
      <c r="H384" s="112" t="s">
        <v>1558</v>
      </c>
      <c r="I384" s="4" t="s">
        <v>7</v>
      </c>
      <c r="J384" s="119" t="s">
        <v>638</v>
      </c>
      <c r="K384" s="2" t="s">
        <v>0</v>
      </c>
      <c r="L384" s="1" t="s">
        <v>1410</v>
      </c>
      <c r="M384" s="2"/>
      <c r="N384" s="128"/>
      <c r="O384" s="126">
        <f>1*10^-13</f>
        <v>1E-13</v>
      </c>
      <c r="P384" s="146">
        <v>1E-13</v>
      </c>
      <c r="Q384" s="118" t="s">
        <v>1167</v>
      </c>
      <c r="R384" s="1"/>
      <c r="S384" s="1" t="s">
        <v>1049</v>
      </c>
      <c r="T384" s="1"/>
      <c r="U384" s="24" t="s">
        <v>690</v>
      </c>
      <c r="V384" s="116" t="b">
        <f>OR(B384=$V$1,D384=$V$1,B384="2"&amp;$V$1)</f>
        <v>0</v>
      </c>
      <c r="W384" s="1" t="b">
        <f>OR(J384=$W$1,L384=$W$1,N384=$W$1,J384="2"&amp;$W$1,L384="2"&amp;$W$1,N384="2"&amp;$W$1)</f>
        <v>0</v>
      </c>
      <c r="Y384" s="25" t="str">
        <f>B384&amp;" + "&amp;D384&amp;IF(F384&lt;&gt;""," + "&amp;F384,"")&amp;"-&gt;"&amp;J384&amp;" + "&amp;L384&amp;IF(N384&lt;&gt;""," + "&amp;N384,"")</f>
        <v>N4+ + O3--&gt;O3 + 2N2</v>
      </c>
      <c r="Z384" s="29">
        <f>O384</f>
        <v>1E-13</v>
      </c>
    </row>
    <row r="385" spans="1:26" ht="22.5" hidden="1" customHeight="1" x14ac:dyDescent="0.25">
      <c r="A385" s="1" t="s">
        <v>392</v>
      </c>
      <c r="B385" s="1" t="s">
        <v>833</v>
      </c>
      <c r="C385" s="2" t="s">
        <v>0</v>
      </c>
      <c r="D385" s="1" t="s">
        <v>1331</v>
      </c>
      <c r="E385" s="2"/>
      <c r="F385" s="22"/>
      <c r="G385" s="4" t="s">
        <v>7</v>
      </c>
      <c r="H385" s="112" t="s">
        <v>1558</v>
      </c>
      <c r="I385" s="4" t="s">
        <v>7</v>
      </c>
      <c r="J385" s="119" t="s">
        <v>1409</v>
      </c>
      <c r="K385" s="2" t="s">
        <v>0</v>
      </c>
      <c r="L385" s="1" t="s">
        <v>1410</v>
      </c>
      <c r="M385" s="2"/>
      <c r="N385" s="128"/>
      <c r="O385" s="126">
        <f>1*10^-13</f>
        <v>1E-13</v>
      </c>
      <c r="P385" s="146">
        <v>1E-13</v>
      </c>
      <c r="Q385" s="118" t="s">
        <v>1167</v>
      </c>
      <c r="R385" s="1"/>
      <c r="S385" s="1" t="s">
        <v>1049</v>
      </c>
      <c r="T385" s="1"/>
      <c r="U385" s="24" t="s">
        <v>690</v>
      </c>
      <c r="V385" s="116" t="b">
        <f>OR(B385=$V$1,D385=$V$1,B385="2"&amp;$V$1)</f>
        <v>0</v>
      </c>
      <c r="W385" s="1" t="b">
        <f>OR(J385=$W$1,L385=$W$1,N385=$W$1,J385="2"&amp;$W$1,L385="2"&amp;$W$1,N385="2"&amp;$W$1)</f>
        <v>0</v>
      </c>
      <c r="Y385" s="25" t="str">
        <f>B385&amp;" + "&amp;D385&amp;IF(F385&lt;&gt;""," + "&amp;F385,"")&amp;"-&gt;"&amp;J385&amp;" + "&amp;L385&amp;IF(N385&lt;&gt;""," + "&amp;N385,"")</f>
        <v>N4+ + O4--&gt;2O2 + 2N2</v>
      </c>
      <c r="Z385" s="29">
        <f>O385</f>
        <v>1E-13</v>
      </c>
    </row>
    <row r="386" spans="1:26" ht="22.5" hidden="1" customHeight="1" x14ac:dyDescent="0.25">
      <c r="A386" s="1" t="s">
        <v>393</v>
      </c>
      <c r="B386" s="1" t="s">
        <v>833</v>
      </c>
      <c r="C386" s="2" t="s">
        <v>0</v>
      </c>
      <c r="D386" s="1" t="s">
        <v>1323</v>
      </c>
      <c r="E386" s="2"/>
      <c r="F386" s="22"/>
      <c r="G386" s="4" t="s">
        <v>7</v>
      </c>
      <c r="H386" s="112" t="s">
        <v>1558</v>
      </c>
      <c r="I386" s="4" t="s">
        <v>7</v>
      </c>
      <c r="J386" s="119" t="s">
        <v>653</v>
      </c>
      <c r="K386" s="2" t="s">
        <v>0</v>
      </c>
      <c r="L386" s="1" t="s">
        <v>1410</v>
      </c>
      <c r="M386" s="2"/>
      <c r="N386" s="128"/>
      <c r="O386" s="126">
        <f>1*10^-13</f>
        <v>1E-13</v>
      </c>
      <c r="P386" s="146">
        <v>1E-13</v>
      </c>
      <c r="Q386" s="118" t="s">
        <v>1167</v>
      </c>
      <c r="R386" s="1"/>
      <c r="S386" s="1" t="s">
        <v>1049</v>
      </c>
      <c r="T386" s="1"/>
      <c r="U386" s="24" t="s">
        <v>703</v>
      </c>
      <c r="V386" s="116" t="b">
        <f>OR(B386=$V$1,D386=$V$1,B386="2"&amp;$V$1)</f>
        <v>0</v>
      </c>
      <c r="W386" s="1" t="b">
        <f>OR(J386=$W$1,L386=$W$1,N386=$W$1,J386="2"&amp;$W$1,L386="2"&amp;$W$1,N386="2"&amp;$W$1)</f>
        <v>0</v>
      </c>
      <c r="Y386" s="25" t="str">
        <f>B386&amp;" + "&amp;D386&amp;IF(F386&lt;&gt;""," + "&amp;F386,"")&amp;"-&gt;"&amp;J386&amp;" + "&amp;L386&amp;IF(N386&lt;&gt;""," + "&amp;N386,"")</f>
        <v>N4+ + H--&gt;H + 2N2</v>
      </c>
      <c r="Z386" s="29">
        <f>O386</f>
        <v>1E-13</v>
      </c>
    </row>
    <row r="387" spans="1:26" ht="22.5" hidden="1" customHeight="1" x14ac:dyDescent="0.25">
      <c r="A387" s="1" t="s">
        <v>394</v>
      </c>
      <c r="B387" s="1" t="s">
        <v>833</v>
      </c>
      <c r="C387" s="2" t="s">
        <v>0</v>
      </c>
      <c r="D387" s="1" t="s">
        <v>1332</v>
      </c>
      <c r="E387" s="2"/>
      <c r="F387" s="22"/>
      <c r="G387" s="4" t="s">
        <v>7</v>
      </c>
      <c r="H387" s="112" t="s">
        <v>1558</v>
      </c>
      <c r="I387" s="4" t="s">
        <v>7</v>
      </c>
      <c r="J387" s="119" t="s">
        <v>654</v>
      </c>
      <c r="K387" s="2" t="s">
        <v>0</v>
      </c>
      <c r="L387" s="1" t="s">
        <v>1410</v>
      </c>
      <c r="M387" s="2"/>
      <c r="N387" s="128"/>
      <c r="O387" s="126">
        <f>1*10^-13</f>
        <v>1E-13</v>
      </c>
      <c r="P387" s="146">
        <v>1E-13</v>
      </c>
      <c r="Q387" s="118" t="s">
        <v>1167</v>
      </c>
      <c r="R387" s="1"/>
      <c r="S387" s="1" t="s">
        <v>1049</v>
      </c>
      <c r="T387" s="1"/>
      <c r="U387" s="24" t="s">
        <v>703</v>
      </c>
      <c r="V387" s="116" t="b">
        <f>OR(B387=$V$1,D387=$V$1,B387="2"&amp;$V$1)</f>
        <v>0</v>
      </c>
      <c r="W387" s="1" t="b">
        <f>OR(J387=$W$1,L387=$W$1,N387=$W$1,J387="2"&amp;$W$1,L387="2"&amp;$W$1,N387="2"&amp;$W$1)</f>
        <v>0</v>
      </c>
      <c r="Y387" s="25" t="str">
        <f>B387&amp;" + "&amp;D387&amp;IF(F387&lt;&gt;""," + "&amp;F387,"")&amp;"-&gt;"&amp;J387&amp;" + "&amp;L387&amp;IF(N387&lt;&gt;""," + "&amp;N387,"")</f>
        <v>N4+ + OH--&gt;OH + 2N2</v>
      </c>
      <c r="Z387" s="29">
        <f>O387</f>
        <v>1E-13</v>
      </c>
    </row>
    <row r="388" spans="1:26" ht="22.5" hidden="1" customHeight="1" x14ac:dyDescent="0.25">
      <c r="A388" s="1" t="s">
        <v>395</v>
      </c>
      <c r="B388" s="1" t="s">
        <v>698</v>
      </c>
      <c r="C388" s="2" t="s">
        <v>0</v>
      </c>
      <c r="D388" s="1" t="s">
        <v>1324</v>
      </c>
      <c r="E388" s="2"/>
      <c r="F388" s="22"/>
      <c r="G388" s="4" t="s">
        <v>7</v>
      </c>
      <c r="H388" s="112" t="s">
        <v>1558</v>
      </c>
      <c r="I388" s="4" t="s">
        <v>7</v>
      </c>
      <c r="J388" s="119" t="s">
        <v>1259</v>
      </c>
      <c r="K388" s="2" t="s">
        <v>0</v>
      </c>
      <c r="L388" s="22" t="s">
        <v>688</v>
      </c>
      <c r="M388" s="2"/>
      <c r="N388" s="125"/>
      <c r="O388" s="126">
        <f>2*10^-13*(300/Tg)^0.5</f>
        <v>1.9900743804199784E-13</v>
      </c>
      <c r="P388" s="146">
        <v>1.9900743804199784E-13</v>
      </c>
      <c r="Q388" s="118" t="s">
        <v>1166</v>
      </c>
      <c r="R388" s="1"/>
      <c r="S388" s="1" t="s">
        <v>1049</v>
      </c>
      <c r="T388" s="1"/>
      <c r="U388" s="24" t="s">
        <v>690</v>
      </c>
      <c r="V388" s="116" t="b">
        <f>OR(B388=$V$1,D388=$V$1,B388="2"&amp;$V$1)</f>
        <v>0</v>
      </c>
      <c r="W388" s="1" t="b">
        <f>OR(J388=$W$1,L388=$W$1,N388=$W$1,J388="2"&amp;$W$1,L388="2"&amp;$W$1,N388="2"&amp;$W$1)</f>
        <v>0</v>
      </c>
      <c r="Y388" s="25" t="str">
        <f>B388&amp;" + "&amp;D388&amp;IF(F388&lt;&gt;""," + "&amp;F388,"")&amp;"-&gt;"&amp;J388&amp;" + "&amp;L388&amp;IF(N388&lt;&gt;""," + "&amp;N388,"")</f>
        <v>NO+ + N2O--&gt;N2O + NO</v>
      </c>
      <c r="Z388" s="29">
        <f>O388</f>
        <v>1.9900743804199784E-13</v>
      </c>
    </row>
    <row r="389" spans="1:26" ht="22.5" hidden="1" customHeight="1" x14ac:dyDescent="0.25">
      <c r="A389" s="1" t="s">
        <v>396</v>
      </c>
      <c r="B389" s="1" t="s">
        <v>698</v>
      </c>
      <c r="C389" s="2" t="s">
        <v>0</v>
      </c>
      <c r="D389" s="1" t="s">
        <v>1324</v>
      </c>
      <c r="E389" s="2"/>
      <c r="F389" s="22"/>
      <c r="G389" s="4" t="s">
        <v>7</v>
      </c>
      <c r="H389" s="112" t="s">
        <v>1558</v>
      </c>
      <c r="I389" s="4" t="s">
        <v>7</v>
      </c>
      <c r="J389" s="119" t="s">
        <v>1259</v>
      </c>
      <c r="K389" s="2" t="s">
        <v>0</v>
      </c>
      <c r="L389" s="22" t="s">
        <v>636</v>
      </c>
      <c r="M389" s="2" t="s">
        <v>0</v>
      </c>
      <c r="N389" s="125" t="s">
        <v>639</v>
      </c>
      <c r="O389" s="126">
        <f>1*10^-13</f>
        <v>1E-13</v>
      </c>
      <c r="P389" s="146">
        <v>1E-13</v>
      </c>
      <c r="Q389" s="118" t="s">
        <v>1167</v>
      </c>
      <c r="R389" s="1"/>
      <c r="S389" s="1" t="s">
        <v>1049</v>
      </c>
      <c r="T389" s="1"/>
      <c r="U389" s="24" t="s">
        <v>690</v>
      </c>
      <c r="V389" s="116" t="b">
        <f>OR(B389=$V$1,D389=$V$1,B389="2"&amp;$V$1)</f>
        <v>0</v>
      </c>
      <c r="W389" s="1" t="b">
        <f>OR(J389=$W$1,L389=$W$1,N389=$W$1,J389="2"&amp;$W$1,L389="2"&amp;$W$1,N389="2"&amp;$W$1)</f>
        <v>0</v>
      </c>
      <c r="Y389" s="25" t="str">
        <f>B389&amp;" + "&amp;D389&amp;IF(F389&lt;&gt;""," + "&amp;F389,"")&amp;"-&gt;"&amp;J389&amp;" + "&amp;L389&amp;IF(N389&lt;&gt;""," + "&amp;N389,"")</f>
        <v>NO+ + N2O--&gt;N2O + N + O</v>
      </c>
      <c r="Z389" s="29">
        <f>O389</f>
        <v>1E-13</v>
      </c>
    </row>
    <row r="390" spans="1:26" ht="22.5" hidden="1" customHeight="1" x14ac:dyDescent="0.25">
      <c r="A390" s="1" t="s">
        <v>397</v>
      </c>
      <c r="B390" s="1" t="s">
        <v>698</v>
      </c>
      <c r="C390" s="2" t="s">
        <v>0</v>
      </c>
      <c r="D390" s="1" t="s">
        <v>1325</v>
      </c>
      <c r="E390" s="2"/>
      <c r="F390" s="22"/>
      <c r="G390" s="4" t="s">
        <v>7</v>
      </c>
      <c r="H390" s="112" t="s">
        <v>1558</v>
      </c>
      <c r="I390" s="4" t="s">
        <v>7</v>
      </c>
      <c r="J390" s="119" t="s">
        <v>1418</v>
      </c>
      <c r="K390" s="2"/>
      <c r="L390" s="22"/>
      <c r="M390" s="2"/>
      <c r="N390" s="125"/>
      <c r="O390" s="126">
        <f>2*10^-13*(300/Tg)^0.5</f>
        <v>1.9900743804199784E-13</v>
      </c>
      <c r="P390" s="146">
        <v>1.9900743804199784E-13</v>
      </c>
      <c r="Q390" s="118" t="s">
        <v>1166</v>
      </c>
      <c r="R390" s="1"/>
      <c r="S390" s="1" t="s">
        <v>1049</v>
      </c>
      <c r="T390" s="1"/>
      <c r="U390" s="24" t="s">
        <v>690</v>
      </c>
      <c r="V390" s="116" t="b">
        <f>OR(B390=$V$1,D390=$V$1,B390="2"&amp;$V$1)</f>
        <v>0</v>
      </c>
      <c r="W390" s="1" t="b">
        <f>OR(J390=$W$1,L390=$W$1,N390=$W$1,J390="2"&amp;$W$1,L390="2"&amp;$W$1,N390="2"&amp;$W$1)</f>
        <v>0</v>
      </c>
      <c r="Y390" s="25" t="str">
        <f>B390&amp;" + "&amp;D390&amp;IF(F390&lt;&gt;""," + "&amp;F390,"")&amp;"-&gt;"&amp;J390&amp;" + "&amp;L390&amp;IF(N390&lt;&gt;""," + "&amp;N390,"")</f>
        <v xml:space="preserve">NO+ + NO--&gt;2NO + </v>
      </c>
      <c r="Z390" s="29">
        <f>O390</f>
        <v>1.9900743804199784E-13</v>
      </c>
    </row>
    <row r="391" spans="1:26" ht="22.5" hidden="1" customHeight="1" x14ac:dyDescent="0.25">
      <c r="A391" s="1" t="s">
        <v>398</v>
      </c>
      <c r="B391" s="1" t="s">
        <v>698</v>
      </c>
      <c r="C391" s="2" t="s">
        <v>0</v>
      </c>
      <c r="D391" s="1" t="s">
        <v>1325</v>
      </c>
      <c r="E391" s="2"/>
      <c r="F391" s="22"/>
      <c r="G391" s="4" t="s">
        <v>7</v>
      </c>
      <c r="H391" s="112" t="s">
        <v>1558</v>
      </c>
      <c r="I391" s="4" t="s">
        <v>7</v>
      </c>
      <c r="J391" s="119" t="s">
        <v>688</v>
      </c>
      <c r="K391" s="2" t="s">
        <v>0</v>
      </c>
      <c r="L391" s="22" t="s">
        <v>636</v>
      </c>
      <c r="M391" s="2" t="s">
        <v>0</v>
      </c>
      <c r="N391" s="125" t="s">
        <v>639</v>
      </c>
      <c r="O391" s="126">
        <f>1*10^-13</f>
        <v>1E-13</v>
      </c>
      <c r="P391" s="146">
        <v>1E-13</v>
      </c>
      <c r="Q391" s="118" t="s">
        <v>1167</v>
      </c>
      <c r="R391" s="1"/>
      <c r="S391" s="1" t="s">
        <v>1049</v>
      </c>
      <c r="T391" s="1"/>
      <c r="U391" s="24" t="s">
        <v>690</v>
      </c>
      <c r="V391" s="116" t="b">
        <f>OR(B391=$V$1,D391=$V$1,B391="2"&amp;$V$1)</f>
        <v>0</v>
      </c>
      <c r="W391" s="1" t="b">
        <f>OR(J391=$W$1,L391=$W$1,N391=$W$1,J391="2"&amp;$W$1,L391="2"&amp;$W$1,N391="2"&amp;$W$1)</f>
        <v>0</v>
      </c>
      <c r="Y391" s="25" t="str">
        <f>B391&amp;" + "&amp;D391&amp;IF(F391&lt;&gt;""," + "&amp;F391,"")&amp;"-&gt;"&amp;J391&amp;" + "&amp;L391&amp;IF(N391&lt;&gt;""," + "&amp;N391,"")</f>
        <v>NO+ + NO--&gt;NO + N + O</v>
      </c>
      <c r="Z391" s="29">
        <f>O391</f>
        <v>1E-13</v>
      </c>
    </row>
    <row r="392" spans="1:26" ht="22.5" hidden="1" customHeight="1" x14ac:dyDescent="0.25">
      <c r="A392" s="1" t="s">
        <v>399</v>
      </c>
      <c r="B392" s="1" t="s">
        <v>698</v>
      </c>
      <c r="C392" s="2" t="s">
        <v>0</v>
      </c>
      <c r="D392" s="1" t="s">
        <v>1326</v>
      </c>
      <c r="E392" s="2"/>
      <c r="F392" s="22"/>
      <c r="G392" s="4" t="s">
        <v>7</v>
      </c>
      <c r="H392" s="112" t="s">
        <v>1558</v>
      </c>
      <c r="I392" s="4" t="s">
        <v>7</v>
      </c>
      <c r="J392" s="119" t="s">
        <v>1261</v>
      </c>
      <c r="K392" s="2" t="s">
        <v>0</v>
      </c>
      <c r="L392" s="22" t="s">
        <v>688</v>
      </c>
      <c r="M392" s="2"/>
      <c r="N392" s="125"/>
      <c r="O392" s="126">
        <f>2*10^-13*(300/Tg)^0.5</f>
        <v>1.9900743804199784E-13</v>
      </c>
      <c r="P392" s="146">
        <v>1.9900743804199784E-13</v>
      </c>
      <c r="Q392" s="118" t="s">
        <v>1166</v>
      </c>
      <c r="R392" s="1"/>
      <c r="S392" s="1" t="s">
        <v>1049</v>
      </c>
      <c r="T392" s="1"/>
      <c r="U392" s="24" t="s">
        <v>756</v>
      </c>
      <c r="V392" s="116" t="b">
        <f>OR(B392=$V$1,D392=$V$1,B392="2"&amp;$V$1)</f>
        <v>0</v>
      </c>
      <c r="W392" s="1" t="b">
        <f>OR(J392=$W$1,L392=$W$1,N392=$W$1,J392="2"&amp;$W$1,L392="2"&amp;$W$1,N392="2"&amp;$W$1)</f>
        <v>1</v>
      </c>
      <c r="Y392" s="25" t="str">
        <f>B392&amp;" + "&amp;D392&amp;IF(F392&lt;&gt;""," + "&amp;F392,"")&amp;"-&gt;"&amp;J392&amp;" + "&amp;L392&amp;IF(N392&lt;&gt;""," + "&amp;N392,"")</f>
        <v>NO+ + NO2--&gt;NO2 + NO</v>
      </c>
      <c r="Z392" s="29">
        <f>O392</f>
        <v>1.9900743804199784E-13</v>
      </c>
    </row>
    <row r="393" spans="1:26" ht="22.5" hidden="1" customHeight="1" x14ac:dyDescent="0.25">
      <c r="A393" s="1" t="s">
        <v>400</v>
      </c>
      <c r="B393" s="1" t="s">
        <v>698</v>
      </c>
      <c r="C393" s="2" t="s">
        <v>0</v>
      </c>
      <c r="D393" s="1" t="s">
        <v>1326</v>
      </c>
      <c r="E393" s="2"/>
      <c r="F393" s="22"/>
      <c r="G393" s="4" t="s">
        <v>7</v>
      </c>
      <c r="H393" s="112" t="s">
        <v>1558</v>
      </c>
      <c r="I393" s="4" t="s">
        <v>7</v>
      </c>
      <c r="J393" s="119" t="s">
        <v>1261</v>
      </c>
      <c r="K393" s="2" t="s">
        <v>0</v>
      </c>
      <c r="L393" s="22" t="s">
        <v>636</v>
      </c>
      <c r="M393" s="2" t="s">
        <v>0</v>
      </c>
      <c r="N393" s="125" t="s">
        <v>639</v>
      </c>
      <c r="O393" s="126">
        <f>1*10^-13</f>
        <v>1E-13</v>
      </c>
      <c r="P393" s="146">
        <v>1E-13</v>
      </c>
      <c r="Q393" s="118" t="s">
        <v>1167</v>
      </c>
      <c r="R393" s="1"/>
      <c r="S393" s="1" t="s">
        <v>1049</v>
      </c>
      <c r="T393" s="1"/>
      <c r="U393" s="24" t="s">
        <v>690</v>
      </c>
      <c r="V393" s="116" t="b">
        <f>OR(B393=$V$1,D393=$V$1,B393="2"&amp;$V$1)</f>
        <v>0</v>
      </c>
      <c r="W393" s="1" t="b">
        <f>OR(J393=$W$1,L393=$W$1,N393=$W$1,J393="2"&amp;$W$1,L393="2"&amp;$W$1,N393="2"&amp;$W$1)</f>
        <v>1</v>
      </c>
      <c r="Y393" s="25" t="str">
        <f>B393&amp;" + "&amp;D393&amp;IF(F393&lt;&gt;""," + "&amp;F393,"")&amp;"-&gt;"&amp;J393&amp;" + "&amp;L393&amp;IF(N393&lt;&gt;""," + "&amp;N393,"")</f>
        <v>NO+ + NO2--&gt;NO2 + N + O</v>
      </c>
      <c r="Z393" s="29">
        <f>O393</f>
        <v>1E-13</v>
      </c>
    </row>
    <row r="394" spans="1:26" ht="22.5" hidden="1" customHeight="1" x14ac:dyDescent="0.25">
      <c r="A394" s="1" t="s">
        <v>401</v>
      </c>
      <c r="B394" s="1" t="s">
        <v>698</v>
      </c>
      <c r="C394" s="2" t="s">
        <v>0</v>
      </c>
      <c r="D394" s="1" t="s">
        <v>1327</v>
      </c>
      <c r="E394" s="2"/>
      <c r="F394" s="22"/>
      <c r="G394" s="4" t="s">
        <v>7</v>
      </c>
      <c r="H394" s="112" t="s">
        <v>1558</v>
      </c>
      <c r="I394" s="4" t="s">
        <v>7</v>
      </c>
      <c r="J394" s="119" t="s">
        <v>1263</v>
      </c>
      <c r="K394" s="2" t="s">
        <v>0</v>
      </c>
      <c r="L394" s="22" t="s">
        <v>688</v>
      </c>
      <c r="M394" s="2"/>
      <c r="N394" s="125"/>
      <c r="O394" s="126">
        <f>2*10^-13*(300/Tg)^0.5</f>
        <v>1.9900743804199784E-13</v>
      </c>
      <c r="P394" s="146">
        <v>1.9900743804199784E-13</v>
      </c>
      <c r="Q394" s="118" t="s">
        <v>1166</v>
      </c>
      <c r="R394" s="1"/>
      <c r="S394" s="1" t="s">
        <v>1049</v>
      </c>
      <c r="T394" s="1"/>
      <c r="U394" s="24" t="s">
        <v>690</v>
      </c>
      <c r="V394" s="116" t="b">
        <f>OR(B394=$V$1,D394=$V$1,B394="2"&amp;$V$1)</f>
        <v>0</v>
      </c>
      <c r="W394" s="1" t="b">
        <f>OR(J394=$W$1,L394=$W$1,N394=$W$1,J394="2"&amp;$W$1,L394="2"&amp;$W$1,N394="2"&amp;$W$1)</f>
        <v>0</v>
      </c>
      <c r="Y394" s="25" t="str">
        <f>B394&amp;" + "&amp;D394&amp;IF(F394&lt;&gt;""," + "&amp;F394,"")&amp;"-&gt;"&amp;J394&amp;" + "&amp;L394&amp;IF(N394&lt;&gt;""," + "&amp;N394,"")</f>
        <v>NO+ + NO3--&gt;NO3 + NO</v>
      </c>
      <c r="Z394" s="29">
        <f>O394</f>
        <v>1.9900743804199784E-13</v>
      </c>
    </row>
    <row r="395" spans="1:26" ht="22.5" hidden="1" customHeight="1" x14ac:dyDescent="0.25">
      <c r="A395" s="1" t="s">
        <v>402</v>
      </c>
      <c r="B395" s="1" t="s">
        <v>698</v>
      </c>
      <c r="C395" s="2" t="s">
        <v>0</v>
      </c>
      <c r="D395" s="1" t="s">
        <v>1327</v>
      </c>
      <c r="E395" s="2"/>
      <c r="F395" s="22"/>
      <c r="G395" s="4" t="s">
        <v>7</v>
      </c>
      <c r="H395" s="112" t="s">
        <v>1558</v>
      </c>
      <c r="I395" s="4" t="s">
        <v>7</v>
      </c>
      <c r="J395" s="119" t="s">
        <v>1263</v>
      </c>
      <c r="K395" s="2" t="s">
        <v>0</v>
      </c>
      <c r="L395" s="22" t="s">
        <v>636</v>
      </c>
      <c r="M395" s="2" t="s">
        <v>0</v>
      </c>
      <c r="N395" s="125" t="s">
        <v>639</v>
      </c>
      <c r="O395" s="126">
        <f>1*10^-13</f>
        <v>1E-13</v>
      </c>
      <c r="P395" s="146">
        <v>1E-13</v>
      </c>
      <c r="Q395" s="118" t="s">
        <v>1167</v>
      </c>
      <c r="R395" s="1"/>
      <c r="S395" s="1" t="s">
        <v>1049</v>
      </c>
      <c r="T395" s="1"/>
      <c r="U395" s="24" t="s">
        <v>690</v>
      </c>
      <c r="V395" s="116" t="b">
        <f>OR(B395=$V$1,D395=$V$1,B395="2"&amp;$V$1)</f>
        <v>0</v>
      </c>
      <c r="W395" s="1" t="b">
        <f>OR(J395=$W$1,L395=$W$1,N395=$W$1,J395="2"&amp;$W$1,L395="2"&amp;$W$1,N395="2"&amp;$W$1)</f>
        <v>0</v>
      </c>
      <c r="Y395" s="25" t="str">
        <f>B395&amp;" + "&amp;D395&amp;IF(F395&lt;&gt;""," + "&amp;F395,"")&amp;"-&gt;"&amp;J395&amp;" + "&amp;L395&amp;IF(N395&lt;&gt;""," + "&amp;N395,"")</f>
        <v>NO+ + NO3--&gt;NO3 + N + O</v>
      </c>
      <c r="Z395" s="29">
        <f>O395</f>
        <v>1E-13</v>
      </c>
    </row>
    <row r="396" spans="1:26" ht="22.5" hidden="1" customHeight="1" x14ac:dyDescent="0.25">
      <c r="A396" s="1" t="s">
        <v>403</v>
      </c>
      <c r="B396" s="1" t="s">
        <v>698</v>
      </c>
      <c r="C396" s="2" t="s">
        <v>0</v>
      </c>
      <c r="D396" s="1" t="s">
        <v>1328</v>
      </c>
      <c r="E396" s="2"/>
      <c r="F396" s="22"/>
      <c r="G396" s="4" t="s">
        <v>7</v>
      </c>
      <c r="H396" s="112" t="s">
        <v>1558</v>
      </c>
      <c r="I396" s="4" t="s">
        <v>7</v>
      </c>
      <c r="J396" s="119" t="s">
        <v>1411</v>
      </c>
      <c r="K396" s="2" t="s">
        <v>0</v>
      </c>
      <c r="L396" s="22" t="s">
        <v>636</v>
      </c>
      <c r="M396" s="2"/>
      <c r="N396" s="125"/>
      <c r="O396" s="126">
        <f>1*10^-13</f>
        <v>1E-13</v>
      </c>
      <c r="P396" s="146">
        <v>1E-13</v>
      </c>
      <c r="Q396" s="118" t="s">
        <v>1167</v>
      </c>
      <c r="R396" s="1"/>
      <c r="S396" s="1" t="s">
        <v>1049</v>
      </c>
      <c r="T396" s="1"/>
      <c r="U396" s="24" t="s">
        <v>690</v>
      </c>
      <c r="V396" s="116" t="b">
        <f>OR(B396=$V$1,D396=$V$1,B396="2"&amp;$V$1)</f>
        <v>0</v>
      </c>
      <c r="W396" s="1" t="b">
        <f>OR(J396=$W$1,L396=$W$1,N396=$W$1,J396="2"&amp;$W$1,L396="2"&amp;$W$1,N396="2"&amp;$W$1)</f>
        <v>0</v>
      </c>
      <c r="Y396" s="25" t="str">
        <f>B396&amp;" + "&amp;D396&amp;IF(F396&lt;&gt;""," + "&amp;F396,"")&amp;"-&gt;"&amp;J396&amp;" + "&amp;L396&amp;IF(N396&lt;&gt;""," + "&amp;N396,"")</f>
        <v>NO+ + O--&gt;2O + N</v>
      </c>
      <c r="Z396" s="29">
        <f>O396</f>
        <v>1E-13</v>
      </c>
    </row>
    <row r="397" spans="1:26" ht="22.5" hidden="1" customHeight="1" x14ac:dyDescent="0.25">
      <c r="A397" s="1" t="s">
        <v>404</v>
      </c>
      <c r="B397" s="1" t="s">
        <v>698</v>
      </c>
      <c r="C397" s="2" t="s">
        <v>0</v>
      </c>
      <c r="D397" s="1" t="s">
        <v>1328</v>
      </c>
      <c r="E397" s="2"/>
      <c r="F397" s="22"/>
      <c r="G397" s="4" t="s">
        <v>7</v>
      </c>
      <c r="H397" s="112" t="s">
        <v>1558</v>
      </c>
      <c r="I397" s="4" t="s">
        <v>7</v>
      </c>
      <c r="J397" s="119" t="s">
        <v>639</v>
      </c>
      <c r="K397" s="2" t="s">
        <v>0</v>
      </c>
      <c r="L397" s="22" t="s">
        <v>688</v>
      </c>
      <c r="M397" s="2"/>
      <c r="N397" s="125"/>
      <c r="O397" s="126">
        <f>2*10^-13*(300/Tg)^0.5</f>
        <v>1.9900743804199784E-13</v>
      </c>
      <c r="P397" s="146">
        <v>1.9900743804199784E-13</v>
      </c>
      <c r="Q397" s="118" t="s">
        <v>1166</v>
      </c>
      <c r="R397" s="1"/>
      <c r="S397" s="1" t="s">
        <v>1049</v>
      </c>
      <c r="T397" s="1"/>
      <c r="U397" s="24" t="s">
        <v>756</v>
      </c>
      <c r="V397" s="116" t="b">
        <f>OR(B397=$V$1,D397=$V$1,B397="2"&amp;$V$1)</f>
        <v>0</v>
      </c>
      <c r="W397" s="1" t="b">
        <f>OR(J397=$W$1,L397=$W$1,N397=$W$1,J397="2"&amp;$W$1,L397="2"&amp;$W$1,N397="2"&amp;$W$1)</f>
        <v>0</v>
      </c>
      <c r="Y397" s="25" t="str">
        <f>B397&amp;" + "&amp;D397&amp;IF(F397&lt;&gt;""," + "&amp;F397,"")&amp;"-&gt;"&amp;J397&amp;" + "&amp;L397&amp;IF(N397&lt;&gt;""," + "&amp;N397,"")</f>
        <v>NO+ + O--&gt;O + NO</v>
      </c>
      <c r="Z397" s="29">
        <f>O397</f>
        <v>1.9900743804199784E-13</v>
      </c>
    </row>
    <row r="398" spans="1:26" ht="22.5" hidden="1" customHeight="1" x14ac:dyDescent="0.25">
      <c r="A398" s="1" t="s">
        <v>405</v>
      </c>
      <c r="B398" s="1" t="s">
        <v>698</v>
      </c>
      <c r="C398" s="2" t="s">
        <v>0</v>
      </c>
      <c r="D398" s="1" t="s">
        <v>1329</v>
      </c>
      <c r="E398" s="2"/>
      <c r="F398" s="22"/>
      <c r="G398" s="4" t="s">
        <v>7</v>
      </c>
      <c r="H398" s="112" t="s">
        <v>1558</v>
      </c>
      <c r="I398" s="4" t="s">
        <v>7</v>
      </c>
      <c r="J398" s="119" t="s">
        <v>637</v>
      </c>
      <c r="K398" s="2" t="s">
        <v>0</v>
      </c>
      <c r="L398" s="22" t="s">
        <v>636</v>
      </c>
      <c r="M398" s="2" t="s">
        <v>0</v>
      </c>
      <c r="N398" s="125" t="s">
        <v>639</v>
      </c>
      <c r="O398" s="126">
        <f>1*10^-13</f>
        <v>1E-13</v>
      </c>
      <c r="P398" s="146">
        <v>1E-13</v>
      </c>
      <c r="Q398" s="118" t="s">
        <v>1167</v>
      </c>
      <c r="R398" s="1"/>
      <c r="S398" s="1" t="s">
        <v>1049</v>
      </c>
      <c r="T398" s="1"/>
      <c r="U398" s="24" t="s">
        <v>691</v>
      </c>
      <c r="V398" s="116" t="b">
        <f>OR(B398=$V$1,D398=$V$1,B398="2"&amp;$V$1)</f>
        <v>0</v>
      </c>
      <c r="W398" s="1" t="b">
        <f>OR(J398=$W$1,L398=$W$1,N398=$W$1,J398="2"&amp;$W$1,L398="2"&amp;$W$1,N398="2"&amp;$W$1)</f>
        <v>0</v>
      </c>
      <c r="X398" s="25" t="s">
        <v>1607</v>
      </c>
      <c r="Y398" s="25" t="str">
        <f>B398&amp;" + "&amp;D398&amp;IF(F398&lt;&gt;""," + "&amp;F398,"")&amp;"-&gt;"&amp;J398&amp;" + "&amp;L398&amp;IF(N398&lt;&gt;""," + "&amp;N398,"")</f>
        <v>NO+ + O2--&gt;O2 + N + O</v>
      </c>
      <c r="Z398" s="29">
        <f>O398</f>
        <v>1E-13</v>
      </c>
    </row>
    <row r="399" spans="1:26" ht="22.5" hidden="1" customHeight="1" x14ac:dyDescent="0.25">
      <c r="A399" s="1" t="s">
        <v>406</v>
      </c>
      <c r="B399" s="1" t="s">
        <v>698</v>
      </c>
      <c r="C399" s="2" t="s">
        <v>0</v>
      </c>
      <c r="D399" s="1" t="s">
        <v>1329</v>
      </c>
      <c r="E399" s="2"/>
      <c r="F399" s="22"/>
      <c r="G399" s="4" t="s">
        <v>7</v>
      </c>
      <c r="H399" s="112" t="s">
        <v>1558</v>
      </c>
      <c r="I399" s="4" t="s">
        <v>7</v>
      </c>
      <c r="J399" s="119" t="s">
        <v>637</v>
      </c>
      <c r="K399" s="2" t="s">
        <v>0</v>
      </c>
      <c r="L399" s="22" t="s">
        <v>688</v>
      </c>
      <c r="M399" s="2"/>
      <c r="N399" s="125"/>
      <c r="O399" s="126">
        <f>2*10^-13*(300/Tg)^0.5</f>
        <v>1.9900743804199784E-13</v>
      </c>
      <c r="P399" s="146">
        <v>1.9900743804199784E-13</v>
      </c>
      <c r="Q399" s="118" t="s">
        <v>1657</v>
      </c>
      <c r="R399" s="1"/>
      <c r="S399" s="1" t="s">
        <v>1049</v>
      </c>
      <c r="T399" s="1"/>
      <c r="U399" s="24" t="s">
        <v>691</v>
      </c>
      <c r="V399" s="116" t="b">
        <f>OR(B399=$V$1,D399=$V$1,B399="2"&amp;$V$1)</f>
        <v>0</v>
      </c>
      <c r="W399" s="1" t="b">
        <f>OR(J399=$W$1,L399=$W$1,N399=$W$1,J399="2"&amp;$W$1,L399="2"&amp;$W$1,N399="2"&amp;$W$1)</f>
        <v>0</v>
      </c>
      <c r="X399" s="25" t="s">
        <v>1607</v>
      </c>
      <c r="Y399" s="25" t="str">
        <f>B399&amp;" + "&amp;D399&amp;IF(F399&lt;&gt;""," + "&amp;F399,"")&amp;"-&gt;"&amp;J399&amp;" + "&amp;L399&amp;IF(N399&lt;&gt;""," + "&amp;N399,"")</f>
        <v>NO+ + O2--&gt;O2 + NO</v>
      </c>
      <c r="Z399" s="29">
        <f>O399</f>
        <v>1.9900743804199784E-13</v>
      </c>
    </row>
    <row r="400" spans="1:26" ht="22.5" hidden="1" customHeight="1" x14ac:dyDescent="0.25">
      <c r="A400" s="1" t="s">
        <v>407</v>
      </c>
      <c r="B400" s="1" t="s">
        <v>698</v>
      </c>
      <c r="C400" s="2" t="s">
        <v>0</v>
      </c>
      <c r="D400" s="1" t="s">
        <v>1330</v>
      </c>
      <c r="E400" s="2"/>
      <c r="F400" s="22"/>
      <c r="G400" s="4" t="s">
        <v>7</v>
      </c>
      <c r="H400" s="112" t="s">
        <v>1558</v>
      </c>
      <c r="I400" s="4" t="s">
        <v>7</v>
      </c>
      <c r="J400" s="119" t="s">
        <v>638</v>
      </c>
      <c r="K400" s="2" t="s">
        <v>0</v>
      </c>
      <c r="L400" s="22" t="s">
        <v>636</v>
      </c>
      <c r="M400" s="2" t="s">
        <v>0</v>
      </c>
      <c r="N400" s="125" t="s">
        <v>639</v>
      </c>
      <c r="O400" s="126">
        <f>1*10^-13</f>
        <v>1E-13</v>
      </c>
      <c r="P400" s="146">
        <v>1E-13</v>
      </c>
      <c r="Q400" s="118" t="s">
        <v>1167</v>
      </c>
      <c r="R400" s="1"/>
      <c r="S400" s="1" t="s">
        <v>1049</v>
      </c>
      <c r="T400" s="1"/>
      <c r="U400" s="24" t="s">
        <v>690</v>
      </c>
      <c r="V400" s="116" t="b">
        <f>OR(B400=$V$1,D400=$V$1,B400="2"&amp;$V$1)</f>
        <v>0</v>
      </c>
      <c r="W400" s="1" t="b">
        <f>OR(J400=$W$1,L400=$W$1,N400=$W$1,J400="2"&amp;$W$1,L400="2"&amp;$W$1,N400="2"&amp;$W$1)</f>
        <v>0</v>
      </c>
      <c r="Y400" s="25" t="str">
        <f>B400&amp;" + "&amp;D400&amp;IF(F400&lt;&gt;""," + "&amp;F400,"")&amp;"-&gt;"&amp;J400&amp;" + "&amp;L400&amp;IF(N400&lt;&gt;""," + "&amp;N400,"")</f>
        <v>NO+ + O3--&gt;O3 + N + O</v>
      </c>
      <c r="Z400" s="29">
        <f>O400</f>
        <v>1E-13</v>
      </c>
    </row>
    <row r="401" spans="1:26" ht="22.5" hidden="1" customHeight="1" x14ac:dyDescent="0.25">
      <c r="A401" s="1" t="s">
        <v>408</v>
      </c>
      <c r="B401" s="1" t="s">
        <v>698</v>
      </c>
      <c r="C401" s="2" t="s">
        <v>0</v>
      </c>
      <c r="D401" s="1" t="s">
        <v>1330</v>
      </c>
      <c r="E401" s="2"/>
      <c r="F401" s="22"/>
      <c r="G401" s="4" t="s">
        <v>7</v>
      </c>
      <c r="H401" s="112" t="s">
        <v>1558</v>
      </c>
      <c r="I401" s="4" t="s">
        <v>7</v>
      </c>
      <c r="J401" s="119" t="s">
        <v>638</v>
      </c>
      <c r="K401" s="2" t="s">
        <v>0</v>
      </c>
      <c r="L401" s="22" t="s">
        <v>688</v>
      </c>
      <c r="M401" s="2"/>
      <c r="N401" s="125"/>
      <c r="O401" s="126">
        <f>2*10^-13*(300/Tg)^0.5</f>
        <v>1.9900743804199784E-13</v>
      </c>
      <c r="P401" s="146">
        <v>1.9900743804199784E-13</v>
      </c>
      <c r="Q401" s="118" t="s">
        <v>1166</v>
      </c>
      <c r="R401" s="1"/>
      <c r="S401" s="1" t="s">
        <v>1049</v>
      </c>
      <c r="T401" s="1"/>
      <c r="U401" s="24" t="s">
        <v>690</v>
      </c>
      <c r="V401" s="116" t="b">
        <f>OR(B401=$V$1,D401=$V$1,B401="2"&amp;$V$1)</f>
        <v>0</v>
      </c>
      <c r="W401" s="1" t="b">
        <f>OR(J401=$W$1,L401=$W$1,N401=$W$1,J401="2"&amp;$W$1,L401="2"&amp;$W$1,N401="2"&amp;$W$1)</f>
        <v>0</v>
      </c>
      <c r="Y401" s="25" t="str">
        <f>B401&amp;" + "&amp;D401&amp;IF(F401&lt;&gt;""," + "&amp;F401,"")&amp;"-&gt;"&amp;J401&amp;" + "&amp;L401&amp;IF(N401&lt;&gt;""," + "&amp;N401,"")</f>
        <v>NO+ + O3--&gt;O3 + NO</v>
      </c>
      <c r="Z401" s="29">
        <f>O401</f>
        <v>1.9900743804199784E-13</v>
      </c>
    </row>
    <row r="402" spans="1:26" ht="22.5" hidden="1" customHeight="1" x14ac:dyDescent="0.25">
      <c r="A402" s="1" t="s">
        <v>409</v>
      </c>
      <c r="B402" s="1" t="s">
        <v>698</v>
      </c>
      <c r="C402" s="2" t="s">
        <v>0</v>
      </c>
      <c r="D402" s="1" t="s">
        <v>1331</v>
      </c>
      <c r="E402" s="2"/>
      <c r="F402" s="22"/>
      <c r="G402" s="4" t="s">
        <v>7</v>
      </c>
      <c r="H402" s="112" t="s">
        <v>1558</v>
      </c>
      <c r="I402" s="4" t="s">
        <v>7</v>
      </c>
      <c r="J402" s="119" t="s">
        <v>1409</v>
      </c>
      <c r="K402" s="2" t="s">
        <v>0</v>
      </c>
      <c r="L402" s="1" t="s">
        <v>688</v>
      </c>
      <c r="M402" s="2"/>
      <c r="N402" s="125"/>
      <c r="O402" s="126">
        <f>1*10^-13</f>
        <v>1E-13</v>
      </c>
      <c r="P402" s="146">
        <v>1E-13</v>
      </c>
      <c r="Q402" s="118" t="s">
        <v>1167</v>
      </c>
      <c r="R402" s="1"/>
      <c r="S402" s="1" t="s">
        <v>1049</v>
      </c>
      <c r="T402" s="1"/>
      <c r="U402" s="24" t="s">
        <v>756</v>
      </c>
      <c r="V402" s="116" t="b">
        <f>OR(B402=$V$1,D402=$V$1,B402="2"&amp;$V$1)</f>
        <v>0</v>
      </c>
      <c r="W402" s="1" t="b">
        <f>OR(J402=$W$1,L402=$W$1,N402=$W$1,J402="2"&amp;$W$1,L402="2"&amp;$W$1,N402="2"&amp;$W$1)</f>
        <v>0</v>
      </c>
      <c r="Y402" s="25" t="str">
        <f>B402&amp;" + "&amp;D402&amp;IF(F402&lt;&gt;""," + "&amp;F402,"")&amp;"-&gt;"&amp;J402&amp;" + "&amp;L402&amp;IF(N402&lt;&gt;""," + "&amp;N402,"")</f>
        <v>NO+ + O4--&gt;2O2 + NO</v>
      </c>
      <c r="Z402" s="29">
        <f>O402</f>
        <v>1E-13</v>
      </c>
    </row>
    <row r="403" spans="1:26" ht="22.5" hidden="1" customHeight="1" x14ac:dyDescent="0.25">
      <c r="A403" s="1" t="s">
        <v>410</v>
      </c>
      <c r="B403" s="1" t="s">
        <v>698</v>
      </c>
      <c r="C403" s="2" t="s">
        <v>0</v>
      </c>
      <c r="D403" s="1" t="s">
        <v>1323</v>
      </c>
      <c r="E403" s="2"/>
      <c r="F403" s="22"/>
      <c r="G403" s="4" t="s">
        <v>7</v>
      </c>
      <c r="H403" s="112" t="s">
        <v>1558</v>
      </c>
      <c r="I403" s="4" t="s">
        <v>7</v>
      </c>
      <c r="J403" s="119" t="s">
        <v>653</v>
      </c>
      <c r="K403" s="2" t="s">
        <v>0</v>
      </c>
      <c r="L403" s="22" t="s">
        <v>688</v>
      </c>
      <c r="M403" s="2"/>
      <c r="N403" s="125"/>
      <c r="O403" s="126">
        <f>2*10^-13*(300/Tg)^0.5</f>
        <v>1.9900743804199784E-13</v>
      </c>
      <c r="P403" s="146">
        <v>1.9900743804199784E-13</v>
      </c>
      <c r="Q403" s="118" t="s">
        <v>1166</v>
      </c>
      <c r="R403" s="1"/>
      <c r="S403" s="1" t="s">
        <v>1049</v>
      </c>
      <c r="T403" s="1"/>
      <c r="U403" s="24" t="s">
        <v>703</v>
      </c>
      <c r="V403" s="116" t="b">
        <f>OR(B403=$V$1,D403=$V$1,B403="2"&amp;$V$1)</f>
        <v>0</v>
      </c>
      <c r="W403" s="1" t="b">
        <f>OR(J403=$W$1,L403=$W$1,N403=$W$1,J403="2"&amp;$W$1,L403="2"&amp;$W$1,N403="2"&amp;$W$1)</f>
        <v>0</v>
      </c>
      <c r="Y403" s="25" t="str">
        <f>B403&amp;" + "&amp;D403&amp;IF(F403&lt;&gt;""," + "&amp;F403,"")&amp;"-&gt;"&amp;J403&amp;" + "&amp;L403&amp;IF(N403&lt;&gt;""," + "&amp;N403,"")</f>
        <v>NO+ + H--&gt;H + NO</v>
      </c>
      <c r="Z403" s="29">
        <f>O403</f>
        <v>1.9900743804199784E-13</v>
      </c>
    </row>
    <row r="404" spans="1:26" ht="22.5" hidden="1" customHeight="1" x14ac:dyDescent="0.25">
      <c r="A404" s="1" t="s">
        <v>411</v>
      </c>
      <c r="B404" s="1" t="s">
        <v>698</v>
      </c>
      <c r="C404" s="2" t="s">
        <v>0</v>
      </c>
      <c r="D404" s="1" t="s">
        <v>1323</v>
      </c>
      <c r="E404" s="2"/>
      <c r="F404" s="22"/>
      <c r="G404" s="4" t="s">
        <v>7</v>
      </c>
      <c r="H404" s="112" t="s">
        <v>1558</v>
      </c>
      <c r="I404" s="4" t="s">
        <v>7</v>
      </c>
      <c r="J404" s="119" t="s">
        <v>653</v>
      </c>
      <c r="K404" s="2" t="s">
        <v>0</v>
      </c>
      <c r="L404" s="22" t="s">
        <v>636</v>
      </c>
      <c r="M404" s="2" t="s">
        <v>0</v>
      </c>
      <c r="N404" s="125" t="s">
        <v>639</v>
      </c>
      <c r="O404" s="126">
        <f>1*10^-13</f>
        <v>1E-13</v>
      </c>
      <c r="P404" s="146">
        <v>1E-13</v>
      </c>
      <c r="Q404" s="118" t="s">
        <v>1167</v>
      </c>
      <c r="R404" s="1"/>
      <c r="S404" s="1" t="s">
        <v>1049</v>
      </c>
      <c r="T404" s="1"/>
      <c r="U404" s="24" t="s">
        <v>703</v>
      </c>
      <c r="V404" s="116" t="b">
        <f>OR(B404=$V$1,D404=$V$1,B404="2"&amp;$V$1)</f>
        <v>0</v>
      </c>
      <c r="W404" s="1" t="b">
        <f>OR(J404=$W$1,L404=$W$1,N404=$W$1,J404="2"&amp;$W$1,L404="2"&amp;$W$1,N404="2"&amp;$W$1)</f>
        <v>0</v>
      </c>
      <c r="Y404" s="25" t="str">
        <f>B404&amp;" + "&amp;D404&amp;IF(F404&lt;&gt;""," + "&amp;F404,"")&amp;"-&gt;"&amp;J404&amp;" + "&amp;L404&amp;IF(N404&lt;&gt;""," + "&amp;N404,"")</f>
        <v>NO+ + H--&gt;H + N + O</v>
      </c>
      <c r="Z404" s="29">
        <f>O404</f>
        <v>1E-13</v>
      </c>
    </row>
    <row r="405" spans="1:26" ht="22.5" hidden="1" customHeight="1" x14ac:dyDescent="0.25">
      <c r="A405" s="1" t="s">
        <v>412</v>
      </c>
      <c r="B405" s="1" t="s">
        <v>698</v>
      </c>
      <c r="C405" s="2" t="s">
        <v>0</v>
      </c>
      <c r="D405" s="1" t="s">
        <v>1332</v>
      </c>
      <c r="E405" s="2"/>
      <c r="F405" s="22"/>
      <c r="G405" s="4" t="s">
        <v>7</v>
      </c>
      <c r="H405" s="112" t="s">
        <v>1558</v>
      </c>
      <c r="I405" s="4" t="s">
        <v>7</v>
      </c>
      <c r="J405" s="119" t="s">
        <v>654</v>
      </c>
      <c r="K405" s="2" t="s">
        <v>0</v>
      </c>
      <c r="L405" s="22" t="s">
        <v>688</v>
      </c>
      <c r="M405" s="2"/>
      <c r="N405" s="125"/>
      <c r="O405" s="126">
        <f>2*10^-13*(300/Tg)^0.5</f>
        <v>1.9900743804199784E-13</v>
      </c>
      <c r="P405" s="146">
        <v>1.9900743804199784E-13</v>
      </c>
      <c r="Q405" s="118" t="s">
        <v>1166</v>
      </c>
      <c r="R405" s="1"/>
      <c r="S405" s="1" t="s">
        <v>1049</v>
      </c>
      <c r="T405" s="1"/>
      <c r="U405" s="24" t="s">
        <v>703</v>
      </c>
      <c r="V405" s="116" t="b">
        <f>OR(B405=$V$1,D405=$V$1,B405="2"&amp;$V$1)</f>
        <v>0</v>
      </c>
      <c r="W405" s="1" t="b">
        <f>OR(J405=$W$1,L405=$W$1,N405=$W$1,J405="2"&amp;$W$1,L405="2"&amp;$W$1,N405="2"&amp;$W$1)</f>
        <v>0</v>
      </c>
      <c r="Y405" s="25" t="str">
        <f>B405&amp;" + "&amp;D405&amp;IF(F405&lt;&gt;""," + "&amp;F405,"")&amp;"-&gt;"&amp;J405&amp;" + "&amp;L405&amp;IF(N405&lt;&gt;""," + "&amp;N405,"")</f>
        <v>NO+ + OH--&gt;OH + NO</v>
      </c>
      <c r="Z405" s="29">
        <f>O405</f>
        <v>1.9900743804199784E-13</v>
      </c>
    </row>
    <row r="406" spans="1:26" ht="22.5" hidden="1" customHeight="1" x14ac:dyDescent="0.25">
      <c r="A406" s="1" t="s">
        <v>413</v>
      </c>
      <c r="B406" s="1" t="s">
        <v>698</v>
      </c>
      <c r="C406" s="2" t="s">
        <v>0</v>
      </c>
      <c r="D406" s="1" t="s">
        <v>1332</v>
      </c>
      <c r="E406" s="2"/>
      <c r="F406" s="22"/>
      <c r="G406" s="4" t="s">
        <v>7</v>
      </c>
      <c r="H406" s="112" t="s">
        <v>1558</v>
      </c>
      <c r="I406" s="4" t="s">
        <v>7</v>
      </c>
      <c r="J406" s="119" t="s">
        <v>654</v>
      </c>
      <c r="K406" s="2" t="s">
        <v>0</v>
      </c>
      <c r="L406" s="22" t="s">
        <v>636</v>
      </c>
      <c r="M406" s="2" t="s">
        <v>0</v>
      </c>
      <c r="N406" s="125" t="s">
        <v>639</v>
      </c>
      <c r="O406" s="126">
        <f>1*10^-13</f>
        <v>1E-13</v>
      </c>
      <c r="P406" s="146">
        <v>1E-13</v>
      </c>
      <c r="Q406" s="118" t="s">
        <v>1167</v>
      </c>
      <c r="R406" s="1"/>
      <c r="S406" s="1" t="s">
        <v>1049</v>
      </c>
      <c r="T406" s="1"/>
      <c r="U406" s="24" t="s">
        <v>703</v>
      </c>
      <c r="V406" s="116" t="b">
        <f>OR(B406=$V$1,D406=$V$1,B406="2"&amp;$V$1)</f>
        <v>0</v>
      </c>
      <c r="W406" s="1" t="b">
        <f>OR(J406=$W$1,L406=$W$1,N406=$W$1,J406="2"&amp;$W$1,L406="2"&amp;$W$1,N406="2"&amp;$W$1)</f>
        <v>0</v>
      </c>
      <c r="Y406" s="25" t="str">
        <f>B406&amp;" + "&amp;D406&amp;IF(F406&lt;&gt;""," + "&amp;F406,"")&amp;"-&gt;"&amp;J406&amp;" + "&amp;L406&amp;IF(N406&lt;&gt;""," + "&amp;N406,"")</f>
        <v>NO+ + OH--&gt;OH + N + O</v>
      </c>
      <c r="Z406" s="29">
        <f>O406</f>
        <v>1E-13</v>
      </c>
    </row>
    <row r="407" spans="1:26" ht="22.5" hidden="1" customHeight="1" x14ac:dyDescent="0.25">
      <c r="A407" s="1" t="s">
        <v>414</v>
      </c>
      <c r="B407" s="1" t="s">
        <v>834</v>
      </c>
      <c r="C407" s="2" t="s">
        <v>0</v>
      </c>
      <c r="D407" s="1" t="s">
        <v>1324</v>
      </c>
      <c r="E407" s="2"/>
      <c r="F407" s="22"/>
      <c r="G407" s="4" t="s">
        <v>7</v>
      </c>
      <c r="H407" s="112" t="s">
        <v>1558</v>
      </c>
      <c r="I407" s="4" t="s">
        <v>7</v>
      </c>
      <c r="J407" s="119" t="s">
        <v>1259</v>
      </c>
      <c r="K407" s="2" t="s">
        <v>0</v>
      </c>
      <c r="L407" s="1" t="s">
        <v>739</v>
      </c>
      <c r="M407" s="2"/>
      <c r="N407" s="125"/>
      <c r="O407" s="126">
        <f>2*10^-13*(300/Tg)^0.5</f>
        <v>1.9900743804199784E-13</v>
      </c>
      <c r="P407" s="146">
        <v>1.9900743804199784E-13</v>
      </c>
      <c r="Q407" s="118" t="s">
        <v>1166</v>
      </c>
      <c r="R407" s="1"/>
      <c r="S407" s="1" t="s">
        <v>1049</v>
      </c>
      <c r="T407" s="1"/>
      <c r="U407" s="24" t="s">
        <v>756</v>
      </c>
      <c r="V407" s="116" t="b">
        <f>OR(B407=$V$1,D407=$V$1,B407="2"&amp;$V$1)</f>
        <v>0</v>
      </c>
      <c r="W407" s="1" t="b">
        <f>OR(J407=$W$1,L407=$W$1,N407=$W$1,J407="2"&amp;$W$1,L407="2"&amp;$W$1,N407="2"&amp;$W$1)</f>
        <v>1</v>
      </c>
      <c r="Y407" s="25" t="str">
        <f>B407&amp;" + "&amp;D407&amp;IF(F407&lt;&gt;""," + "&amp;F407,"")&amp;"-&gt;"&amp;J407&amp;" + "&amp;L407&amp;IF(N407&lt;&gt;""," + "&amp;N407,"")</f>
        <v>NO2+ + N2O--&gt;N2O + NO2</v>
      </c>
      <c r="Z407" s="29">
        <f>O407</f>
        <v>1.9900743804199784E-13</v>
      </c>
    </row>
    <row r="408" spans="1:26" ht="22.5" hidden="1" customHeight="1" x14ac:dyDescent="0.25">
      <c r="A408" s="1" t="s">
        <v>415</v>
      </c>
      <c r="B408" s="1" t="s">
        <v>834</v>
      </c>
      <c r="C408" s="2" t="s">
        <v>0</v>
      </c>
      <c r="D408" s="1" t="s">
        <v>1324</v>
      </c>
      <c r="E408" s="2"/>
      <c r="F408" s="22"/>
      <c r="G408" s="4" t="s">
        <v>7</v>
      </c>
      <c r="H408" s="112" t="s">
        <v>1558</v>
      </c>
      <c r="I408" s="4" t="s">
        <v>7</v>
      </c>
      <c r="J408" s="119" t="s">
        <v>1259</v>
      </c>
      <c r="K408" s="2" t="s">
        <v>0</v>
      </c>
      <c r="L408" s="22" t="s">
        <v>636</v>
      </c>
      <c r="M408" s="2" t="s">
        <v>0</v>
      </c>
      <c r="N408" s="128" t="s">
        <v>649</v>
      </c>
      <c r="O408" s="126">
        <f>1*10^-13</f>
        <v>1E-13</v>
      </c>
      <c r="P408" s="146">
        <v>1E-13</v>
      </c>
      <c r="Q408" s="118" t="s">
        <v>1167</v>
      </c>
      <c r="R408" s="1"/>
      <c r="S408" s="1" t="s">
        <v>1049</v>
      </c>
      <c r="T408" s="1"/>
      <c r="U408" s="24" t="s">
        <v>690</v>
      </c>
      <c r="V408" s="116" t="b">
        <f>OR(B408=$V$1,D408=$V$1,B408="2"&amp;$V$1)</f>
        <v>0</v>
      </c>
      <c r="W408" s="1" t="b">
        <f>OR(J408=$W$1,L408=$W$1,N408=$W$1,J408="2"&amp;$W$1,L408="2"&amp;$W$1,N408="2"&amp;$W$1)</f>
        <v>0</v>
      </c>
      <c r="Y408" s="25" t="str">
        <f>B408&amp;" + "&amp;D408&amp;IF(F408&lt;&gt;""," + "&amp;F408,"")&amp;"-&gt;"&amp;J408&amp;" + "&amp;L408&amp;IF(N408&lt;&gt;""," + "&amp;N408,"")</f>
        <v>NO2+ + N2O--&gt;N2O + N + O2</v>
      </c>
      <c r="Z408" s="29">
        <f>O408</f>
        <v>1E-13</v>
      </c>
    </row>
    <row r="409" spans="1:26" ht="22.5" hidden="1" customHeight="1" x14ac:dyDescent="0.25">
      <c r="A409" s="1" t="s">
        <v>416</v>
      </c>
      <c r="B409" s="1" t="s">
        <v>834</v>
      </c>
      <c r="C409" s="2" t="s">
        <v>0</v>
      </c>
      <c r="D409" s="1" t="s">
        <v>1325</v>
      </c>
      <c r="E409" s="2"/>
      <c r="F409" s="22"/>
      <c r="G409" s="4" t="s">
        <v>7</v>
      </c>
      <c r="H409" s="112" t="s">
        <v>1558</v>
      </c>
      <c r="I409" s="4" t="s">
        <v>7</v>
      </c>
      <c r="J409" s="119" t="s">
        <v>688</v>
      </c>
      <c r="K409" s="2" t="s">
        <v>0</v>
      </c>
      <c r="L409" s="1" t="s">
        <v>739</v>
      </c>
      <c r="M409" s="2"/>
      <c r="N409" s="125"/>
      <c r="O409" s="126">
        <f>2*10^-13*(300/Tg)^0.5</f>
        <v>1.9900743804199784E-13</v>
      </c>
      <c r="P409" s="146">
        <v>1.9900743804199784E-13</v>
      </c>
      <c r="Q409" s="118" t="s">
        <v>1166</v>
      </c>
      <c r="R409" s="1"/>
      <c r="S409" s="1" t="s">
        <v>1049</v>
      </c>
      <c r="T409" s="1"/>
      <c r="U409" s="24" t="s">
        <v>756</v>
      </c>
      <c r="V409" s="116" t="b">
        <f>OR(B409=$V$1,D409=$V$1,B409="2"&amp;$V$1)</f>
        <v>0</v>
      </c>
      <c r="W409" s="1" t="b">
        <f>OR(J409=$W$1,L409=$W$1,N409=$W$1,J409="2"&amp;$W$1,L409="2"&amp;$W$1,N409="2"&amp;$W$1)</f>
        <v>1</v>
      </c>
      <c r="Y409" s="25" t="str">
        <f>B409&amp;" + "&amp;D409&amp;IF(F409&lt;&gt;""," + "&amp;F409,"")&amp;"-&gt;"&amp;J409&amp;" + "&amp;L409&amp;IF(N409&lt;&gt;""," + "&amp;N409,"")</f>
        <v>NO2+ + NO--&gt;NO + NO2</v>
      </c>
      <c r="Z409" s="29">
        <f>O409</f>
        <v>1.9900743804199784E-13</v>
      </c>
    </row>
    <row r="410" spans="1:26" ht="22.5" hidden="1" customHeight="1" x14ac:dyDescent="0.25">
      <c r="A410" s="1" t="s">
        <v>417</v>
      </c>
      <c r="B410" s="1" t="s">
        <v>834</v>
      </c>
      <c r="C410" s="2" t="s">
        <v>0</v>
      </c>
      <c r="D410" s="1" t="s">
        <v>1325</v>
      </c>
      <c r="E410" s="2"/>
      <c r="F410" s="22"/>
      <c r="G410" s="4" t="s">
        <v>7</v>
      </c>
      <c r="H410" s="112" t="s">
        <v>1558</v>
      </c>
      <c r="I410" s="4" t="s">
        <v>7</v>
      </c>
      <c r="J410" s="119" t="s">
        <v>688</v>
      </c>
      <c r="K410" s="2" t="s">
        <v>0</v>
      </c>
      <c r="L410" s="22" t="s">
        <v>636</v>
      </c>
      <c r="M410" s="2" t="s">
        <v>0</v>
      </c>
      <c r="N410" s="128" t="s">
        <v>649</v>
      </c>
      <c r="O410" s="126">
        <f>1*10^-13</f>
        <v>1E-13</v>
      </c>
      <c r="P410" s="146">
        <v>1E-13</v>
      </c>
      <c r="Q410" s="118" t="s">
        <v>1167</v>
      </c>
      <c r="R410" s="1"/>
      <c r="S410" s="1" t="s">
        <v>1049</v>
      </c>
      <c r="T410" s="1"/>
      <c r="U410" s="24" t="s">
        <v>690</v>
      </c>
      <c r="V410" s="116" t="b">
        <f>OR(B410=$V$1,D410=$V$1,B410="2"&amp;$V$1)</f>
        <v>0</v>
      </c>
      <c r="W410" s="1" t="b">
        <f>OR(J410=$W$1,L410=$W$1,N410=$W$1,J410="2"&amp;$W$1,L410="2"&amp;$W$1,N410="2"&amp;$W$1)</f>
        <v>0</v>
      </c>
      <c r="Y410" s="25" t="str">
        <f>B410&amp;" + "&amp;D410&amp;IF(F410&lt;&gt;""," + "&amp;F410,"")&amp;"-&gt;"&amp;J410&amp;" + "&amp;L410&amp;IF(N410&lt;&gt;""," + "&amp;N410,"")</f>
        <v>NO2+ + NO--&gt;NO + N + O2</v>
      </c>
      <c r="Z410" s="29">
        <f>O410</f>
        <v>1E-13</v>
      </c>
    </row>
    <row r="411" spans="1:26" ht="22.5" hidden="1" customHeight="1" x14ac:dyDescent="0.25">
      <c r="A411" s="1" t="s">
        <v>418</v>
      </c>
      <c r="B411" s="1" t="s">
        <v>834</v>
      </c>
      <c r="C411" s="2" t="s">
        <v>0</v>
      </c>
      <c r="D411" s="1" t="s">
        <v>1326</v>
      </c>
      <c r="E411" s="2"/>
      <c r="F411" s="22"/>
      <c r="G411" s="4" t="s">
        <v>7</v>
      </c>
      <c r="H411" s="112" t="s">
        <v>1558</v>
      </c>
      <c r="I411" s="4" t="s">
        <v>7</v>
      </c>
      <c r="J411" s="119" t="s">
        <v>1422</v>
      </c>
      <c r="K411" s="2"/>
      <c r="L411" s="1"/>
      <c r="M411" s="2"/>
      <c r="N411" s="125"/>
      <c r="O411" s="126">
        <f>2*10^-13*(300/Tg)^0.5</f>
        <v>1.9900743804199784E-13</v>
      </c>
      <c r="P411" s="146">
        <v>1.9900743804199784E-13</v>
      </c>
      <c r="Q411" s="118" t="s">
        <v>1166</v>
      </c>
      <c r="R411" s="1"/>
      <c r="S411" s="1" t="s">
        <v>1049</v>
      </c>
      <c r="T411" s="1"/>
      <c r="U411" s="24" t="s">
        <v>756</v>
      </c>
      <c r="V411" s="116" t="b">
        <f>OR(B411=$V$1,D411=$V$1,B411="2"&amp;$V$1)</f>
        <v>0</v>
      </c>
      <c r="W411" s="1" t="b">
        <f>OR(J411=$W$1,L411=$W$1,N411=$W$1,J411="2"&amp;$W$1,L411="2"&amp;$W$1,N411="2"&amp;$W$1)</f>
        <v>1</v>
      </c>
      <c r="Y411" s="25" t="str">
        <f>B411&amp;" + "&amp;D411&amp;IF(F411&lt;&gt;""," + "&amp;F411,"")&amp;"-&gt;"&amp;J411&amp;" + "&amp;L411&amp;IF(N411&lt;&gt;""," + "&amp;N411,"")</f>
        <v xml:space="preserve">NO2+ + NO2--&gt;2NO2 + </v>
      </c>
      <c r="Z411" s="29">
        <f>O411</f>
        <v>1.9900743804199784E-13</v>
      </c>
    </row>
    <row r="412" spans="1:26" ht="22.5" hidden="1" customHeight="1" x14ac:dyDescent="0.25">
      <c r="A412" s="1" t="s">
        <v>419</v>
      </c>
      <c r="B412" s="1" t="s">
        <v>834</v>
      </c>
      <c r="C412" s="2" t="s">
        <v>0</v>
      </c>
      <c r="D412" s="1" t="s">
        <v>1326</v>
      </c>
      <c r="E412" s="2"/>
      <c r="F412" s="22"/>
      <c r="G412" s="4" t="s">
        <v>7</v>
      </c>
      <c r="H412" s="112" t="s">
        <v>1558</v>
      </c>
      <c r="I412" s="4" t="s">
        <v>7</v>
      </c>
      <c r="J412" s="119" t="s">
        <v>1261</v>
      </c>
      <c r="K412" s="2" t="s">
        <v>0</v>
      </c>
      <c r="L412" s="22" t="s">
        <v>636</v>
      </c>
      <c r="M412" s="2" t="s">
        <v>0</v>
      </c>
      <c r="N412" s="128" t="s">
        <v>649</v>
      </c>
      <c r="O412" s="126">
        <f>1*10^-13</f>
        <v>1E-13</v>
      </c>
      <c r="P412" s="146">
        <v>1E-13</v>
      </c>
      <c r="Q412" s="118" t="s">
        <v>1167</v>
      </c>
      <c r="R412" s="1"/>
      <c r="S412" s="1" t="s">
        <v>1049</v>
      </c>
      <c r="T412" s="1"/>
      <c r="U412" s="24" t="s">
        <v>690</v>
      </c>
      <c r="V412" s="116" t="b">
        <f>OR(B412=$V$1,D412=$V$1,B412="2"&amp;$V$1)</f>
        <v>0</v>
      </c>
      <c r="W412" s="1" t="b">
        <f>OR(J412=$W$1,L412=$W$1,N412=$W$1,J412="2"&amp;$W$1,L412="2"&amp;$W$1,N412="2"&amp;$W$1)</f>
        <v>1</v>
      </c>
      <c r="Y412" s="25" t="str">
        <f>B412&amp;" + "&amp;D412&amp;IF(F412&lt;&gt;""," + "&amp;F412,"")&amp;"-&gt;"&amp;J412&amp;" + "&amp;L412&amp;IF(N412&lt;&gt;""," + "&amp;N412,"")</f>
        <v>NO2+ + NO2--&gt;NO2 + N + O2</v>
      </c>
      <c r="Z412" s="29">
        <f>O412</f>
        <v>1E-13</v>
      </c>
    </row>
    <row r="413" spans="1:26" ht="22.5" hidden="1" customHeight="1" x14ac:dyDescent="0.25">
      <c r="A413" s="1" t="s">
        <v>420</v>
      </c>
      <c r="B413" s="1" t="s">
        <v>834</v>
      </c>
      <c r="C413" s="2" t="s">
        <v>0</v>
      </c>
      <c r="D413" s="1" t="s">
        <v>1327</v>
      </c>
      <c r="E413" s="2"/>
      <c r="F413" s="22"/>
      <c r="G413" s="4" t="s">
        <v>7</v>
      </c>
      <c r="H413" s="112" t="s">
        <v>1558</v>
      </c>
      <c r="I413" s="4" t="s">
        <v>7</v>
      </c>
      <c r="J413" s="119" t="s">
        <v>1263</v>
      </c>
      <c r="K413" s="2" t="s">
        <v>0</v>
      </c>
      <c r="L413" s="1" t="s">
        <v>739</v>
      </c>
      <c r="M413" s="2"/>
      <c r="N413" s="125"/>
      <c r="O413" s="126">
        <f>2*10^-13*(300/Tg)^0.5</f>
        <v>1.9900743804199784E-13</v>
      </c>
      <c r="P413" s="146">
        <v>1.9900743804199784E-13</v>
      </c>
      <c r="Q413" s="118" t="s">
        <v>1166</v>
      </c>
      <c r="R413" s="1"/>
      <c r="S413" s="1" t="s">
        <v>1049</v>
      </c>
      <c r="T413" s="1"/>
      <c r="U413" s="24" t="s">
        <v>756</v>
      </c>
      <c r="V413" s="116" t="b">
        <f>OR(B413=$V$1,D413=$V$1,B413="2"&amp;$V$1)</f>
        <v>0</v>
      </c>
      <c r="W413" s="1" t="b">
        <f>OR(J413=$W$1,L413=$W$1,N413=$W$1,J413="2"&amp;$W$1,L413="2"&amp;$W$1,N413="2"&amp;$W$1)</f>
        <v>1</v>
      </c>
      <c r="Y413" s="25" t="str">
        <f>B413&amp;" + "&amp;D413&amp;IF(F413&lt;&gt;""," + "&amp;F413,"")&amp;"-&gt;"&amp;J413&amp;" + "&amp;L413&amp;IF(N413&lt;&gt;""," + "&amp;N413,"")</f>
        <v>NO2+ + NO3--&gt;NO3 + NO2</v>
      </c>
      <c r="Z413" s="29">
        <f>O413</f>
        <v>1.9900743804199784E-13</v>
      </c>
    </row>
    <row r="414" spans="1:26" ht="22.5" hidden="1" customHeight="1" x14ac:dyDescent="0.25">
      <c r="A414" s="1" t="s">
        <v>421</v>
      </c>
      <c r="B414" s="1" t="s">
        <v>834</v>
      </c>
      <c r="C414" s="2" t="s">
        <v>0</v>
      </c>
      <c r="D414" s="1" t="s">
        <v>1327</v>
      </c>
      <c r="E414" s="2"/>
      <c r="F414" s="22"/>
      <c r="G414" s="4" t="s">
        <v>7</v>
      </c>
      <c r="H414" s="112" t="s">
        <v>1558</v>
      </c>
      <c r="I414" s="4" t="s">
        <v>7</v>
      </c>
      <c r="J414" s="119" t="s">
        <v>1263</v>
      </c>
      <c r="K414" s="2" t="s">
        <v>0</v>
      </c>
      <c r="L414" s="22" t="s">
        <v>636</v>
      </c>
      <c r="M414" s="2" t="s">
        <v>0</v>
      </c>
      <c r="N414" s="128" t="s">
        <v>649</v>
      </c>
      <c r="O414" s="126">
        <f>1*10^-13</f>
        <v>1E-13</v>
      </c>
      <c r="P414" s="146">
        <v>1E-13</v>
      </c>
      <c r="Q414" s="118" t="s">
        <v>1167</v>
      </c>
      <c r="R414" s="1"/>
      <c r="S414" s="1" t="s">
        <v>1049</v>
      </c>
      <c r="T414" s="1"/>
      <c r="U414" s="24" t="s">
        <v>690</v>
      </c>
      <c r="V414" s="116" t="b">
        <f>OR(B414=$V$1,D414=$V$1,B414="2"&amp;$V$1)</f>
        <v>0</v>
      </c>
      <c r="W414" s="1" t="b">
        <f>OR(J414=$W$1,L414=$W$1,N414=$W$1,J414="2"&amp;$W$1,L414="2"&amp;$W$1,N414="2"&amp;$W$1)</f>
        <v>0</v>
      </c>
      <c r="Y414" s="25" t="str">
        <f>B414&amp;" + "&amp;D414&amp;IF(F414&lt;&gt;""," + "&amp;F414,"")&amp;"-&gt;"&amp;J414&amp;" + "&amp;L414&amp;IF(N414&lt;&gt;""," + "&amp;N414,"")</f>
        <v>NO2+ + NO3--&gt;NO3 + N + O2</v>
      </c>
      <c r="Z414" s="29">
        <f>O414</f>
        <v>1E-13</v>
      </c>
    </row>
    <row r="415" spans="1:26" ht="22.5" hidden="1" customHeight="1" x14ac:dyDescent="0.25">
      <c r="A415" s="1" t="s">
        <v>422</v>
      </c>
      <c r="B415" s="1" t="s">
        <v>834</v>
      </c>
      <c r="C415" s="2" t="s">
        <v>0</v>
      </c>
      <c r="D415" s="1" t="s">
        <v>1328</v>
      </c>
      <c r="E415" s="2"/>
      <c r="F415" s="22"/>
      <c r="G415" s="4" t="s">
        <v>7</v>
      </c>
      <c r="H415" s="112" t="s">
        <v>1558</v>
      </c>
      <c r="I415" s="4" t="s">
        <v>7</v>
      </c>
      <c r="J415" s="119" t="s">
        <v>639</v>
      </c>
      <c r="K415" s="2" t="s">
        <v>0</v>
      </c>
      <c r="L415" s="1" t="s">
        <v>739</v>
      </c>
      <c r="M415" s="2"/>
      <c r="N415" s="125"/>
      <c r="O415" s="126">
        <f>2*10^-13*(300/Tg)^0.5</f>
        <v>1.9900743804199784E-13</v>
      </c>
      <c r="P415" s="146">
        <v>1.9900743804199784E-13</v>
      </c>
      <c r="Q415" s="118" t="s">
        <v>1166</v>
      </c>
      <c r="R415" s="1"/>
      <c r="S415" s="1" t="s">
        <v>1049</v>
      </c>
      <c r="T415" s="1"/>
      <c r="U415" s="24" t="s">
        <v>756</v>
      </c>
      <c r="V415" s="116" t="b">
        <f>OR(B415=$V$1,D415=$V$1,B415="2"&amp;$V$1)</f>
        <v>0</v>
      </c>
      <c r="W415" s="1" t="b">
        <f>OR(J415=$W$1,L415=$W$1,N415=$W$1,J415="2"&amp;$W$1,L415="2"&amp;$W$1,N415="2"&amp;$W$1)</f>
        <v>1</v>
      </c>
      <c r="Y415" s="25" t="str">
        <f>B415&amp;" + "&amp;D415&amp;IF(F415&lt;&gt;""," + "&amp;F415,"")&amp;"-&gt;"&amp;J415&amp;" + "&amp;L415&amp;IF(N415&lt;&gt;""," + "&amp;N415,"")</f>
        <v>NO2+ + O--&gt;O + NO2</v>
      </c>
      <c r="Z415" s="29">
        <f>O415</f>
        <v>1.9900743804199784E-13</v>
      </c>
    </row>
    <row r="416" spans="1:26" ht="22.5" hidden="1" customHeight="1" x14ac:dyDescent="0.25">
      <c r="A416" s="1" t="s">
        <v>423</v>
      </c>
      <c r="B416" s="1" t="s">
        <v>834</v>
      </c>
      <c r="C416" s="2" t="s">
        <v>0</v>
      </c>
      <c r="D416" s="1" t="s">
        <v>1328</v>
      </c>
      <c r="E416" s="2"/>
      <c r="F416" s="22"/>
      <c r="G416" s="4" t="s">
        <v>7</v>
      </c>
      <c r="H416" s="112" t="s">
        <v>1558</v>
      </c>
      <c r="I416" s="4" t="s">
        <v>7</v>
      </c>
      <c r="J416" s="119" t="s">
        <v>639</v>
      </c>
      <c r="K416" s="2" t="s">
        <v>0</v>
      </c>
      <c r="L416" s="22" t="s">
        <v>636</v>
      </c>
      <c r="M416" s="2" t="s">
        <v>0</v>
      </c>
      <c r="N416" s="128" t="s">
        <v>649</v>
      </c>
      <c r="O416" s="126">
        <f>1*10^-13</f>
        <v>1E-13</v>
      </c>
      <c r="P416" s="146">
        <v>1E-13</v>
      </c>
      <c r="Q416" s="118" t="s">
        <v>1167</v>
      </c>
      <c r="R416" s="1"/>
      <c r="S416" s="1" t="s">
        <v>1049</v>
      </c>
      <c r="T416" s="1"/>
      <c r="U416" s="24" t="s">
        <v>690</v>
      </c>
      <c r="V416" s="116" t="b">
        <f>OR(B416=$V$1,D416=$V$1,B416="2"&amp;$V$1)</f>
        <v>0</v>
      </c>
      <c r="W416" s="1" t="b">
        <f>OR(J416=$W$1,L416=$W$1,N416=$W$1,J416="2"&amp;$W$1,L416="2"&amp;$W$1,N416="2"&amp;$W$1)</f>
        <v>0</v>
      </c>
      <c r="Y416" s="25" t="str">
        <f>B416&amp;" + "&amp;D416&amp;IF(F416&lt;&gt;""," + "&amp;F416,"")&amp;"-&gt;"&amp;J416&amp;" + "&amp;L416&amp;IF(N416&lt;&gt;""," + "&amp;N416,"")</f>
        <v>NO2+ + O--&gt;O + N + O2</v>
      </c>
      <c r="Z416" s="29">
        <f>O416</f>
        <v>1E-13</v>
      </c>
    </row>
    <row r="417" spans="1:26" ht="22.5" hidden="1" customHeight="1" x14ac:dyDescent="0.25">
      <c r="A417" s="1" t="s">
        <v>424</v>
      </c>
      <c r="B417" s="1" t="s">
        <v>834</v>
      </c>
      <c r="C417" s="2" t="s">
        <v>0</v>
      </c>
      <c r="D417" s="1" t="s">
        <v>1329</v>
      </c>
      <c r="E417" s="2"/>
      <c r="F417" s="22"/>
      <c r="G417" s="4" t="s">
        <v>7</v>
      </c>
      <c r="H417" s="112" t="s">
        <v>1558</v>
      </c>
      <c r="I417" s="4" t="s">
        <v>7</v>
      </c>
      <c r="J417" s="119" t="s">
        <v>637</v>
      </c>
      <c r="K417" s="2" t="s">
        <v>0</v>
      </c>
      <c r="L417" s="1" t="s">
        <v>739</v>
      </c>
      <c r="M417" s="2"/>
      <c r="N417" s="125"/>
      <c r="O417" s="126">
        <f>2*10^-13*(300/Tg)^0.5</f>
        <v>1.9900743804199784E-13</v>
      </c>
      <c r="P417" s="146">
        <v>1.9900743804199784E-13</v>
      </c>
      <c r="Q417" s="118" t="s">
        <v>1166</v>
      </c>
      <c r="R417" s="1"/>
      <c r="S417" s="1" t="s">
        <v>1049</v>
      </c>
      <c r="T417" s="1"/>
      <c r="U417" s="24" t="s">
        <v>756</v>
      </c>
      <c r="V417" s="116" t="b">
        <f>OR(B417=$V$1,D417=$V$1,B417="2"&amp;$V$1)</f>
        <v>0</v>
      </c>
      <c r="W417" s="1" t="b">
        <f>OR(J417=$W$1,L417=$W$1,N417=$W$1,J417="2"&amp;$W$1,L417="2"&amp;$W$1,N417="2"&amp;$W$1)</f>
        <v>1</v>
      </c>
      <c r="Y417" s="25" t="str">
        <f>B417&amp;" + "&amp;D417&amp;IF(F417&lt;&gt;""," + "&amp;F417,"")&amp;"-&gt;"&amp;J417&amp;" + "&amp;L417&amp;IF(N417&lt;&gt;""," + "&amp;N417,"")</f>
        <v>NO2+ + O2--&gt;O2 + NO2</v>
      </c>
      <c r="Z417" s="29">
        <f>O417</f>
        <v>1.9900743804199784E-13</v>
      </c>
    </row>
    <row r="418" spans="1:26" ht="22.5" hidden="1" customHeight="1" x14ac:dyDescent="0.25">
      <c r="A418" s="1" t="s">
        <v>425</v>
      </c>
      <c r="B418" s="1" t="s">
        <v>834</v>
      </c>
      <c r="C418" s="2" t="s">
        <v>0</v>
      </c>
      <c r="D418" s="1" t="s">
        <v>1329</v>
      </c>
      <c r="E418" s="2"/>
      <c r="F418" s="22"/>
      <c r="G418" s="4" t="s">
        <v>7</v>
      </c>
      <c r="H418" s="112" t="s">
        <v>1558</v>
      </c>
      <c r="I418" s="4" t="s">
        <v>7</v>
      </c>
      <c r="J418" s="119" t="s">
        <v>1409</v>
      </c>
      <c r="K418" s="2" t="s">
        <v>0</v>
      </c>
      <c r="L418" s="22" t="s">
        <v>636</v>
      </c>
      <c r="M418" s="2"/>
      <c r="N418" s="128"/>
      <c r="O418" s="126">
        <f>1*10^-13</f>
        <v>1E-13</v>
      </c>
      <c r="P418" s="146">
        <v>1E-13</v>
      </c>
      <c r="Q418" s="118" t="s">
        <v>1167</v>
      </c>
      <c r="R418" s="1"/>
      <c r="S418" s="1" t="s">
        <v>1049</v>
      </c>
      <c r="T418" s="1"/>
      <c r="U418" s="24" t="s">
        <v>690</v>
      </c>
      <c r="V418" s="116" t="b">
        <f>OR(B418=$V$1,D418=$V$1,B418="2"&amp;$V$1)</f>
        <v>0</v>
      </c>
      <c r="W418" s="1" t="b">
        <f>OR(J418=$W$1,L418=$W$1,N418=$W$1,J418="2"&amp;$W$1,L418="2"&amp;$W$1,N418="2"&amp;$W$1)</f>
        <v>0</v>
      </c>
      <c r="Y418" s="25" t="str">
        <f>B418&amp;" + "&amp;D418&amp;IF(F418&lt;&gt;""," + "&amp;F418,"")&amp;"-&gt;"&amp;J418&amp;" + "&amp;L418&amp;IF(N418&lt;&gt;""," + "&amp;N418,"")</f>
        <v>NO2+ + O2--&gt;2O2 + N</v>
      </c>
      <c r="Z418" s="29">
        <f>O418</f>
        <v>1E-13</v>
      </c>
    </row>
    <row r="419" spans="1:26" ht="22.5" hidden="1" customHeight="1" x14ac:dyDescent="0.25">
      <c r="A419" s="1" t="s">
        <v>426</v>
      </c>
      <c r="B419" s="1" t="s">
        <v>834</v>
      </c>
      <c r="C419" s="2" t="s">
        <v>0</v>
      </c>
      <c r="D419" s="1" t="s">
        <v>1330</v>
      </c>
      <c r="E419" s="2"/>
      <c r="F419" s="22"/>
      <c r="G419" s="4" t="s">
        <v>7</v>
      </c>
      <c r="H419" s="112" t="s">
        <v>1558</v>
      </c>
      <c r="I419" s="4" t="s">
        <v>7</v>
      </c>
      <c r="J419" s="119" t="s">
        <v>638</v>
      </c>
      <c r="K419" s="2" t="s">
        <v>0</v>
      </c>
      <c r="L419" s="1" t="s">
        <v>739</v>
      </c>
      <c r="M419" s="2"/>
      <c r="N419" s="125"/>
      <c r="O419" s="126">
        <f>2*10^-13*(300/Tg)^0.5</f>
        <v>1.9900743804199784E-13</v>
      </c>
      <c r="P419" s="146">
        <v>1.9900743804199784E-13</v>
      </c>
      <c r="Q419" s="118" t="s">
        <v>1166</v>
      </c>
      <c r="R419" s="1"/>
      <c r="S419" s="1" t="s">
        <v>1049</v>
      </c>
      <c r="T419" s="1"/>
      <c r="U419" s="24" t="s">
        <v>756</v>
      </c>
      <c r="V419" s="116" t="b">
        <f>OR(B419=$V$1,D419=$V$1,B419="2"&amp;$V$1)</f>
        <v>0</v>
      </c>
      <c r="W419" s="1" t="b">
        <f>OR(J419=$W$1,L419=$W$1,N419=$W$1,J419="2"&amp;$W$1,L419="2"&amp;$W$1,N419="2"&amp;$W$1)</f>
        <v>1</v>
      </c>
      <c r="Y419" s="25" t="str">
        <f>B419&amp;" + "&amp;D419&amp;IF(F419&lt;&gt;""," + "&amp;F419,"")&amp;"-&gt;"&amp;J419&amp;" + "&amp;L419&amp;IF(N419&lt;&gt;""," + "&amp;N419,"")</f>
        <v>NO2+ + O3--&gt;O3 + NO2</v>
      </c>
      <c r="Z419" s="29">
        <f>O419</f>
        <v>1.9900743804199784E-13</v>
      </c>
    </row>
    <row r="420" spans="1:26" ht="22.5" hidden="1" customHeight="1" x14ac:dyDescent="0.25">
      <c r="A420" s="1" t="s">
        <v>427</v>
      </c>
      <c r="B420" s="1" t="s">
        <v>834</v>
      </c>
      <c r="C420" s="2" t="s">
        <v>0</v>
      </c>
      <c r="D420" s="1" t="s">
        <v>1330</v>
      </c>
      <c r="E420" s="2"/>
      <c r="F420" s="22"/>
      <c r="G420" s="4" t="s">
        <v>7</v>
      </c>
      <c r="H420" s="112" t="s">
        <v>1558</v>
      </c>
      <c r="I420" s="4" t="s">
        <v>7</v>
      </c>
      <c r="J420" s="119" t="s">
        <v>638</v>
      </c>
      <c r="K420" s="2" t="s">
        <v>0</v>
      </c>
      <c r="L420" s="22" t="s">
        <v>636</v>
      </c>
      <c r="M420" s="2" t="s">
        <v>0</v>
      </c>
      <c r="N420" s="128" t="s">
        <v>649</v>
      </c>
      <c r="O420" s="126">
        <f>1*10^-13</f>
        <v>1E-13</v>
      </c>
      <c r="P420" s="146">
        <v>1E-13</v>
      </c>
      <c r="Q420" s="118" t="s">
        <v>1167</v>
      </c>
      <c r="R420" s="1"/>
      <c r="S420" s="1" t="s">
        <v>1049</v>
      </c>
      <c r="T420" s="1"/>
      <c r="U420" s="24" t="s">
        <v>690</v>
      </c>
      <c r="V420" s="116" t="b">
        <f>OR(B420=$V$1,D420=$V$1,B420="2"&amp;$V$1)</f>
        <v>0</v>
      </c>
      <c r="W420" s="1" t="b">
        <f>OR(J420=$W$1,L420=$W$1,N420=$W$1,J420="2"&amp;$W$1,L420="2"&amp;$W$1,N420="2"&amp;$W$1)</f>
        <v>0</v>
      </c>
      <c r="Y420" s="25" t="str">
        <f>B420&amp;" + "&amp;D420&amp;IF(F420&lt;&gt;""," + "&amp;F420,"")&amp;"-&gt;"&amp;J420&amp;" + "&amp;L420&amp;IF(N420&lt;&gt;""," + "&amp;N420,"")</f>
        <v>NO2+ + O3--&gt;O3 + N + O2</v>
      </c>
      <c r="Z420" s="29">
        <f>O420</f>
        <v>1E-13</v>
      </c>
    </row>
    <row r="421" spans="1:26" ht="22.5" hidden="1" customHeight="1" x14ac:dyDescent="0.25">
      <c r="A421" s="1" t="s">
        <v>428</v>
      </c>
      <c r="B421" s="1" t="s">
        <v>834</v>
      </c>
      <c r="C421" s="2" t="s">
        <v>0</v>
      </c>
      <c r="D421" s="1" t="s">
        <v>1331</v>
      </c>
      <c r="E421" s="2"/>
      <c r="F421" s="22"/>
      <c r="G421" s="4" t="s">
        <v>7</v>
      </c>
      <c r="H421" s="112" t="s">
        <v>1558</v>
      </c>
      <c r="I421" s="4" t="s">
        <v>7</v>
      </c>
      <c r="J421" s="119" t="s">
        <v>1409</v>
      </c>
      <c r="K421" s="2" t="s">
        <v>0</v>
      </c>
      <c r="L421" s="1" t="s">
        <v>739</v>
      </c>
      <c r="M421" s="2"/>
      <c r="N421" s="128"/>
      <c r="O421" s="126">
        <f>1*10^-13</f>
        <v>1E-13</v>
      </c>
      <c r="P421" s="146">
        <v>1E-13</v>
      </c>
      <c r="Q421" s="118" t="s">
        <v>1167</v>
      </c>
      <c r="R421" s="1"/>
      <c r="S421" s="1" t="s">
        <v>1049</v>
      </c>
      <c r="T421" s="1"/>
      <c r="U421" s="24" t="s">
        <v>756</v>
      </c>
      <c r="V421" s="116" t="b">
        <f>OR(B421=$V$1,D421=$V$1,B421="2"&amp;$V$1)</f>
        <v>0</v>
      </c>
      <c r="W421" s="1" t="b">
        <f>OR(J421=$W$1,L421=$W$1,N421=$W$1,J421="2"&amp;$W$1,L421="2"&amp;$W$1,N421="2"&amp;$W$1)</f>
        <v>1</v>
      </c>
      <c r="Y421" s="25" t="str">
        <f>B421&amp;" + "&amp;D421&amp;IF(F421&lt;&gt;""," + "&amp;F421,"")&amp;"-&gt;"&amp;J421&amp;" + "&amp;L421&amp;IF(N421&lt;&gt;""," + "&amp;N421,"")</f>
        <v>NO2+ + O4--&gt;2O2 + NO2</v>
      </c>
      <c r="Z421" s="29">
        <f>O421</f>
        <v>1E-13</v>
      </c>
    </row>
    <row r="422" spans="1:26" ht="22.5" hidden="1" customHeight="1" x14ac:dyDescent="0.25">
      <c r="A422" s="1" t="s">
        <v>429</v>
      </c>
      <c r="B422" s="1" t="s">
        <v>834</v>
      </c>
      <c r="C422" s="2" t="s">
        <v>0</v>
      </c>
      <c r="D422" s="1" t="s">
        <v>1323</v>
      </c>
      <c r="E422" s="2"/>
      <c r="F422" s="22"/>
      <c r="G422" s="4" t="s">
        <v>7</v>
      </c>
      <c r="H422" s="112" t="s">
        <v>1558</v>
      </c>
      <c r="I422" s="4" t="s">
        <v>7</v>
      </c>
      <c r="J422" s="119" t="s">
        <v>653</v>
      </c>
      <c r="K422" s="2" t="s">
        <v>0</v>
      </c>
      <c r="L422" s="1" t="s">
        <v>739</v>
      </c>
      <c r="M422" s="2"/>
      <c r="N422" s="125"/>
      <c r="O422" s="126">
        <f>2*10^-13*(300/Tg)^0.5</f>
        <v>1.9900743804199784E-13</v>
      </c>
      <c r="P422" s="146">
        <v>1.9900743804199784E-13</v>
      </c>
      <c r="Q422" s="118" t="s">
        <v>1166</v>
      </c>
      <c r="R422" s="1"/>
      <c r="S422" s="1" t="s">
        <v>1049</v>
      </c>
      <c r="T422" s="1"/>
      <c r="U422" s="24" t="s">
        <v>703</v>
      </c>
      <c r="V422" s="116" t="b">
        <f>OR(B422=$V$1,D422=$V$1,B422="2"&amp;$V$1)</f>
        <v>0</v>
      </c>
      <c r="W422" s="1" t="b">
        <f>OR(J422=$W$1,L422=$W$1,N422=$W$1,J422="2"&amp;$W$1,L422="2"&amp;$W$1,N422="2"&amp;$W$1)</f>
        <v>1</v>
      </c>
      <c r="Y422" s="25" t="str">
        <f>B422&amp;" + "&amp;D422&amp;IF(F422&lt;&gt;""," + "&amp;F422,"")&amp;"-&gt;"&amp;J422&amp;" + "&amp;L422&amp;IF(N422&lt;&gt;""," + "&amp;N422,"")</f>
        <v>NO2+ + H--&gt;H + NO2</v>
      </c>
      <c r="Z422" s="29">
        <f>O422</f>
        <v>1.9900743804199784E-13</v>
      </c>
    </row>
    <row r="423" spans="1:26" ht="22.5" hidden="1" customHeight="1" x14ac:dyDescent="0.25">
      <c r="A423" s="1" t="s">
        <v>430</v>
      </c>
      <c r="B423" s="1" t="s">
        <v>834</v>
      </c>
      <c r="C423" s="2" t="s">
        <v>0</v>
      </c>
      <c r="D423" s="1" t="s">
        <v>1323</v>
      </c>
      <c r="E423" s="2"/>
      <c r="F423" s="22"/>
      <c r="G423" s="4" t="s">
        <v>7</v>
      </c>
      <c r="H423" s="112" t="s">
        <v>1558</v>
      </c>
      <c r="I423" s="4" t="s">
        <v>7</v>
      </c>
      <c r="J423" s="119" t="s">
        <v>653</v>
      </c>
      <c r="K423" s="2" t="s">
        <v>0</v>
      </c>
      <c r="L423" s="22" t="s">
        <v>636</v>
      </c>
      <c r="M423" s="2" t="s">
        <v>0</v>
      </c>
      <c r="N423" s="128" t="s">
        <v>649</v>
      </c>
      <c r="O423" s="126">
        <f>1*10^-13</f>
        <v>1E-13</v>
      </c>
      <c r="P423" s="146">
        <v>1E-13</v>
      </c>
      <c r="Q423" s="118" t="s">
        <v>1167</v>
      </c>
      <c r="R423" s="1"/>
      <c r="S423" s="1" t="s">
        <v>1049</v>
      </c>
      <c r="T423" s="1"/>
      <c r="U423" s="24" t="s">
        <v>703</v>
      </c>
      <c r="V423" s="116" t="b">
        <f>OR(B423=$V$1,D423=$V$1,B423="2"&amp;$V$1)</f>
        <v>0</v>
      </c>
      <c r="W423" s="1" t="b">
        <f>OR(J423=$W$1,L423=$W$1,N423=$W$1,J423="2"&amp;$W$1,L423="2"&amp;$W$1,N423="2"&amp;$W$1)</f>
        <v>0</v>
      </c>
      <c r="Y423" s="25" t="str">
        <f>B423&amp;" + "&amp;D423&amp;IF(F423&lt;&gt;""," + "&amp;F423,"")&amp;"-&gt;"&amp;J423&amp;" + "&amp;L423&amp;IF(N423&lt;&gt;""," + "&amp;N423,"")</f>
        <v>NO2+ + H--&gt;H + N + O2</v>
      </c>
      <c r="Z423" s="29">
        <f>O423</f>
        <v>1E-13</v>
      </c>
    </row>
    <row r="424" spans="1:26" ht="22.5" hidden="1" customHeight="1" x14ac:dyDescent="0.25">
      <c r="A424" s="1" t="s">
        <v>431</v>
      </c>
      <c r="B424" s="1" t="s">
        <v>834</v>
      </c>
      <c r="C424" s="2" t="s">
        <v>0</v>
      </c>
      <c r="D424" s="1" t="s">
        <v>1332</v>
      </c>
      <c r="E424" s="2"/>
      <c r="F424" s="22"/>
      <c r="G424" s="4" t="s">
        <v>7</v>
      </c>
      <c r="H424" s="112" t="s">
        <v>1558</v>
      </c>
      <c r="I424" s="4" t="s">
        <v>7</v>
      </c>
      <c r="J424" s="119" t="s">
        <v>654</v>
      </c>
      <c r="K424" s="2" t="s">
        <v>0</v>
      </c>
      <c r="L424" s="1" t="s">
        <v>739</v>
      </c>
      <c r="M424" s="2"/>
      <c r="N424" s="125"/>
      <c r="O424" s="126">
        <f>2*10^-13*(300/Tg)^0.5</f>
        <v>1.9900743804199784E-13</v>
      </c>
      <c r="P424" s="146">
        <v>1.9900743804199784E-13</v>
      </c>
      <c r="Q424" s="118" t="s">
        <v>1166</v>
      </c>
      <c r="R424" s="1"/>
      <c r="S424" s="1" t="s">
        <v>1049</v>
      </c>
      <c r="T424" s="1"/>
      <c r="U424" s="24" t="s">
        <v>703</v>
      </c>
      <c r="V424" s="116" t="b">
        <f>OR(B424=$V$1,D424=$V$1,B424="2"&amp;$V$1)</f>
        <v>0</v>
      </c>
      <c r="W424" s="1" t="b">
        <f>OR(J424=$W$1,L424=$W$1,N424=$W$1,J424="2"&amp;$W$1,L424="2"&amp;$W$1,N424="2"&amp;$W$1)</f>
        <v>1</v>
      </c>
      <c r="Y424" s="25" t="str">
        <f>B424&amp;" + "&amp;D424&amp;IF(F424&lt;&gt;""," + "&amp;F424,"")&amp;"-&gt;"&amp;J424&amp;" + "&amp;L424&amp;IF(N424&lt;&gt;""," + "&amp;N424,"")</f>
        <v>NO2+ + OH--&gt;OH + NO2</v>
      </c>
      <c r="Z424" s="29">
        <f>O424</f>
        <v>1.9900743804199784E-13</v>
      </c>
    </row>
    <row r="425" spans="1:26" ht="22.5" hidden="1" customHeight="1" x14ac:dyDescent="0.25">
      <c r="A425" s="1" t="s">
        <v>432</v>
      </c>
      <c r="B425" s="1" t="s">
        <v>834</v>
      </c>
      <c r="C425" s="2" t="s">
        <v>0</v>
      </c>
      <c r="D425" s="1" t="s">
        <v>1332</v>
      </c>
      <c r="E425" s="2"/>
      <c r="F425" s="22"/>
      <c r="G425" s="4" t="s">
        <v>7</v>
      </c>
      <c r="H425" s="112" t="s">
        <v>1558</v>
      </c>
      <c r="I425" s="4" t="s">
        <v>7</v>
      </c>
      <c r="J425" s="119" t="s">
        <v>654</v>
      </c>
      <c r="K425" s="2" t="s">
        <v>0</v>
      </c>
      <c r="L425" s="22" t="s">
        <v>636</v>
      </c>
      <c r="M425" s="2" t="s">
        <v>0</v>
      </c>
      <c r="N425" s="128" t="s">
        <v>649</v>
      </c>
      <c r="O425" s="126">
        <f>1*10^-13</f>
        <v>1E-13</v>
      </c>
      <c r="P425" s="146">
        <v>1E-13</v>
      </c>
      <c r="Q425" s="118" t="s">
        <v>1167</v>
      </c>
      <c r="R425" s="1"/>
      <c r="S425" s="1" t="s">
        <v>1049</v>
      </c>
      <c r="T425" s="1"/>
      <c r="U425" s="24" t="s">
        <v>703</v>
      </c>
      <c r="V425" s="116" t="b">
        <f>OR(B425=$V$1,D425=$V$1,B425="2"&amp;$V$1)</f>
        <v>0</v>
      </c>
      <c r="W425" s="1" t="b">
        <f>OR(J425=$W$1,L425=$W$1,N425=$W$1,J425="2"&amp;$W$1,L425="2"&amp;$W$1,N425="2"&amp;$W$1)</f>
        <v>0</v>
      </c>
      <c r="Y425" s="25" t="str">
        <f>B425&amp;" + "&amp;D425&amp;IF(F425&lt;&gt;""," + "&amp;F425,"")&amp;"-&gt;"&amp;J425&amp;" + "&amp;L425&amp;IF(N425&lt;&gt;""," + "&amp;N425,"")</f>
        <v>NO2+ + OH--&gt;OH + N + O2</v>
      </c>
      <c r="Z425" s="29">
        <f>O425</f>
        <v>1E-13</v>
      </c>
    </row>
    <row r="426" spans="1:26" ht="22.5" hidden="1" customHeight="1" x14ac:dyDescent="0.25">
      <c r="A426" s="1" t="s">
        <v>433</v>
      </c>
      <c r="B426" s="1" t="s">
        <v>685</v>
      </c>
      <c r="C426" s="2" t="s">
        <v>0</v>
      </c>
      <c r="D426" s="1" t="s">
        <v>1324</v>
      </c>
      <c r="E426" s="2"/>
      <c r="F426" s="22"/>
      <c r="G426" s="4" t="s">
        <v>7</v>
      </c>
      <c r="H426" s="112" t="s">
        <v>1558</v>
      </c>
      <c r="I426" s="4" t="s">
        <v>7</v>
      </c>
      <c r="J426" s="119" t="s">
        <v>1259</v>
      </c>
      <c r="K426" s="2" t="s">
        <v>0</v>
      </c>
      <c r="L426" s="22" t="s">
        <v>653</v>
      </c>
      <c r="M426" s="2"/>
      <c r="N426" s="125"/>
      <c r="O426" s="126">
        <f>2*10^-13*(300/Tg)^0.5</f>
        <v>1.9900743804199784E-13</v>
      </c>
      <c r="P426" s="146">
        <v>1.9900743804199784E-13</v>
      </c>
      <c r="Q426" s="118" t="s">
        <v>1166</v>
      </c>
      <c r="R426" s="1"/>
      <c r="S426" s="1" t="s">
        <v>1049</v>
      </c>
      <c r="T426" s="1"/>
      <c r="U426" s="24" t="s">
        <v>703</v>
      </c>
      <c r="V426" s="116" t="b">
        <f>OR(B426=$V$1,D426=$V$1,B426="2"&amp;$V$1)</f>
        <v>0</v>
      </c>
      <c r="W426" s="1" t="b">
        <f>OR(J426=$W$1,L426=$W$1,N426=$W$1,J426="2"&amp;$W$1,L426="2"&amp;$W$1,N426="2"&amp;$W$1)</f>
        <v>0</v>
      </c>
      <c r="Y426" s="25" t="str">
        <f>B426&amp;" + "&amp;D426&amp;IF(F426&lt;&gt;""," + "&amp;F426,"")&amp;"-&gt;"&amp;J426&amp;" + "&amp;L426&amp;IF(N426&lt;&gt;""," + "&amp;N426,"")</f>
        <v>H+ + N2O--&gt;N2O + H</v>
      </c>
      <c r="Z426" s="29">
        <f>O426</f>
        <v>1.9900743804199784E-13</v>
      </c>
    </row>
    <row r="427" spans="1:26" ht="22.5" hidden="1" customHeight="1" x14ac:dyDescent="0.25">
      <c r="A427" s="1" t="s">
        <v>434</v>
      </c>
      <c r="B427" s="1" t="s">
        <v>685</v>
      </c>
      <c r="C427" s="2" t="s">
        <v>0</v>
      </c>
      <c r="D427" s="1" t="s">
        <v>1325</v>
      </c>
      <c r="E427" s="2"/>
      <c r="F427" s="22"/>
      <c r="G427" s="4" t="s">
        <v>7</v>
      </c>
      <c r="H427" s="112" t="s">
        <v>1558</v>
      </c>
      <c r="I427" s="4" t="s">
        <v>7</v>
      </c>
      <c r="J427" s="119" t="s">
        <v>688</v>
      </c>
      <c r="K427" s="2" t="s">
        <v>0</v>
      </c>
      <c r="L427" s="22" t="s">
        <v>653</v>
      </c>
      <c r="M427" s="2"/>
      <c r="N427" s="125"/>
      <c r="O427" s="126">
        <f>2*10^-13*(300/Tg)^0.5</f>
        <v>1.9900743804199784E-13</v>
      </c>
      <c r="P427" s="146">
        <v>1.9900743804199784E-13</v>
      </c>
      <c r="Q427" s="118" t="s">
        <v>1166</v>
      </c>
      <c r="R427" s="1"/>
      <c r="S427" s="1" t="s">
        <v>1049</v>
      </c>
      <c r="T427" s="1"/>
      <c r="U427" s="24" t="s">
        <v>703</v>
      </c>
      <c r="V427" s="116" t="b">
        <f>OR(B427=$V$1,D427=$V$1,B427="2"&amp;$V$1)</f>
        <v>0</v>
      </c>
      <c r="W427" s="1" t="b">
        <f>OR(J427=$W$1,L427=$W$1,N427=$W$1,J427="2"&amp;$W$1,L427="2"&amp;$W$1,N427="2"&amp;$W$1)</f>
        <v>0</v>
      </c>
      <c r="Y427" s="25" t="str">
        <f>B427&amp;" + "&amp;D427&amp;IF(F427&lt;&gt;""," + "&amp;F427,"")&amp;"-&gt;"&amp;J427&amp;" + "&amp;L427&amp;IF(N427&lt;&gt;""," + "&amp;N427,"")</f>
        <v>H+ + NO--&gt;NO + H</v>
      </c>
      <c r="Z427" s="29">
        <f>O427</f>
        <v>1.9900743804199784E-13</v>
      </c>
    </row>
    <row r="428" spans="1:26" ht="22.5" hidden="1" customHeight="1" x14ac:dyDescent="0.25">
      <c r="A428" s="1" t="s">
        <v>435</v>
      </c>
      <c r="B428" s="1" t="s">
        <v>685</v>
      </c>
      <c r="C428" s="2" t="s">
        <v>0</v>
      </c>
      <c r="D428" s="1" t="s">
        <v>1326</v>
      </c>
      <c r="E428" s="2"/>
      <c r="F428" s="22"/>
      <c r="G428" s="4" t="s">
        <v>7</v>
      </c>
      <c r="H428" s="112" t="s">
        <v>1558</v>
      </c>
      <c r="I428" s="4" t="s">
        <v>7</v>
      </c>
      <c r="J428" s="119" t="s">
        <v>1261</v>
      </c>
      <c r="K428" s="2" t="s">
        <v>0</v>
      </c>
      <c r="L428" s="22" t="s">
        <v>653</v>
      </c>
      <c r="M428" s="2"/>
      <c r="N428" s="125"/>
      <c r="O428" s="126">
        <f>2*10^-13*(300/Tg)^0.5</f>
        <v>1.9900743804199784E-13</v>
      </c>
      <c r="P428" s="146">
        <v>1.9900743804199784E-13</v>
      </c>
      <c r="Q428" s="118" t="s">
        <v>1166</v>
      </c>
      <c r="R428" s="1"/>
      <c r="S428" s="1" t="s">
        <v>1049</v>
      </c>
      <c r="T428" s="1"/>
      <c r="U428" s="24" t="s">
        <v>703</v>
      </c>
      <c r="V428" s="116" t="b">
        <f>OR(B428=$V$1,D428=$V$1,B428="2"&amp;$V$1)</f>
        <v>0</v>
      </c>
      <c r="W428" s="1" t="b">
        <f>OR(J428=$W$1,L428=$W$1,N428=$W$1,J428="2"&amp;$W$1,L428="2"&amp;$W$1,N428="2"&amp;$W$1)</f>
        <v>1</v>
      </c>
      <c r="Y428" s="25" t="str">
        <f>B428&amp;" + "&amp;D428&amp;IF(F428&lt;&gt;""," + "&amp;F428,"")&amp;"-&gt;"&amp;J428&amp;" + "&amp;L428&amp;IF(N428&lt;&gt;""," + "&amp;N428,"")</f>
        <v>H+ + NO2--&gt;NO2 + H</v>
      </c>
      <c r="Z428" s="29">
        <f>O428</f>
        <v>1.9900743804199784E-13</v>
      </c>
    </row>
    <row r="429" spans="1:26" ht="22.5" hidden="1" customHeight="1" x14ac:dyDescent="0.25">
      <c r="A429" s="1" t="s">
        <v>436</v>
      </c>
      <c r="B429" s="1" t="s">
        <v>685</v>
      </c>
      <c r="C429" s="2" t="s">
        <v>0</v>
      </c>
      <c r="D429" s="1" t="s">
        <v>1327</v>
      </c>
      <c r="E429" s="2"/>
      <c r="F429" s="22"/>
      <c r="G429" s="4" t="s">
        <v>7</v>
      </c>
      <c r="H429" s="112" t="s">
        <v>1558</v>
      </c>
      <c r="I429" s="4" t="s">
        <v>7</v>
      </c>
      <c r="J429" s="119" t="s">
        <v>1263</v>
      </c>
      <c r="K429" s="2" t="s">
        <v>0</v>
      </c>
      <c r="L429" s="22" t="s">
        <v>653</v>
      </c>
      <c r="M429" s="2"/>
      <c r="N429" s="125"/>
      <c r="O429" s="126">
        <f>2*10^-13*(300/Tg)^0.5</f>
        <v>1.9900743804199784E-13</v>
      </c>
      <c r="P429" s="146">
        <v>1.9900743804199784E-13</v>
      </c>
      <c r="Q429" s="118" t="s">
        <v>1166</v>
      </c>
      <c r="R429" s="1"/>
      <c r="S429" s="1" t="s">
        <v>1049</v>
      </c>
      <c r="T429" s="1"/>
      <c r="U429" s="24" t="s">
        <v>703</v>
      </c>
      <c r="V429" s="116" t="b">
        <f>OR(B429=$V$1,D429=$V$1,B429="2"&amp;$V$1)</f>
        <v>0</v>
      </c>
      <c r="W429" s="1" t="b">
        <f>OR(J429=$W$1,L429=$W$1,N429=$W$1,J429="2"&amp;$W$1,L429="2"&amp;$W$1,N429="2"&amp;$W$1)</f>
        <v>0</v>
      </c>
      <c r="Y429" s="25" t="str">
        <f>B429&amp;" + "&amp;D429&amp;IF(F429&lt;&gt;""," + "&amp;F429,"")&amp;"-&gt;"&amp;J429&amp;" + "&amp;L429&amp;IF(N429&lt;&gt;""," + "&amp;N429,"")</f>
        <v>H+ + NO3--&gt;NO3 + H</v>
      </c>
      <c r="Z429" s="29">
        <f>O429</f>
        <v>1.9900743804199784E-13</v>
      </c>
    </row>
    <row r="430" spans="1:26" ht="22.5" hidden="1" customHeight="1" x14ac:dyDescent="0.25">
      <c r="A430" s="1" t="s">
        <v>437</v>
      </c>
      <c r="B430" s="1" t="s">
        <v>685</v>
      </c>
      <c r="C430" s="2" t="s">
        <v>0</v>
      </c>
      <c r="D430" s="1" t="s">
        <v>1328</v>
      </c>
      <c r="E430" s="2"/>
      <c r="F430" s="22"/>
      <c r="G430" s="4" t="s">
        <v>7</v>
      </c>
      <c r="H430" s="112" t="s">
        <v>1558</v>
      </c>
      <c r="I430" s="4" t="s">
        <v>7</v>
      </c>
      <c r="J430" s="119" t="s">
        <v>639</v>
      </c>
      <c r="K430" s="2" t="s">
        <v>0</v>
      </c>
      <c r="L430" s="22" t="s">
        <v>653</v>
      </c>
      <c r="M430" s="2"/>
      <c r="N430" s="125"/>
      <c r="O430" s="126">
        <f>2*10^-13*(300/Tg)^0.5</f>
        <v>1.9900743804199784E-13</v>
      </c>
      <c r="P430" s="146">
        <v>1.9900743804199784E-13</v>
      </c>
      <c r="Q430" s="118" t="s">
        <v>1166</v>
      </c>
      <c r="R430" s="1"/>
      <c r="S430" s="1" t="s">
        <v>1049</v>
      </c>
      <c r="T430" s="1"/>
      <c r="U430" s="24" t="s">
        <v>703</v>
      </c>
      <c r="V430" s="116" t="b">
        <f>OR(B430=$V$1,D430=$V$1,B430="2"&amp;$V$1)</f>
        <v>0</v>
      </c>
      <c r="W430" s="1" t="b">
        <f>OR(J430=$W$1,L430=$W$1,N430=$W$1,J430="2"&amp;$W$1,L430="2"&amp;$W$1,N430="2"&amp;$W$1)</f>
        <v>0</v>
      </c>
      <c r="Y430" s="25" t="str">
        <f>B430&amp;" + "&amp;D430&amp;IF(F430&lt;&gt;""," + "&amp;F430,"")&amp;"-&gt;"&amp;J430&amp;" + "&amp;L430&amp;IF(N430&lt;&gt;""," + "&amp;N430,"")</f>
        <v>H+ + O--&gt;O + H</v>
      </c>
      <c r="Z430" s="29">
        <f>O430</f>
        <v>1.9900743804199784E-13</v>
      </c>
    </row>
    <row r="431" spans="1:26" ht="22.5" hidden="1" customHeight="1" x14ac:dyDescent="0.25">
      <c r="A431" s="1" t="s">
        <v>438</v>
      </c>
      <c r="B431" s="1" t="s">
        <v>685</v>
      </c>
      <c r="C431" s="2" t="s">
        <v>0</v>
      </c>
      <c r="D431" s="1" t="s">
        <v>1329</v>
      </c>
      <c r="E431" s="2"/>
      <c r="F431" s="22"/>
      <c r="G431" s="4" t="s">
        <v>7</v>
      </c>
      <c r="H431" s="112" t="s">
        <v>1558</v>
      </c>
      <c r="I431" s="4" t="s">
        <v>7</v>
      </c>
      <c r="J431" s="119" t="s">
        <v>637</v>
      </c>
      <c r="K431" s="2" t="s">
        <v>0</v>
      </c>
      <c r="L431" s="22" t="s">
        <v>653</v>
      </c>
      <c r="M431" s="2"/>
      <c r="N431" s="125"/>
      <c r="O431" s="126">
        <f>2*10^-13*(300/Tg)^0.5</f>
        <v>1.9900743804199784E-13</v>
      </c>
      <c r="P431" s="146">
        <v>1.9900743804199784E-13</v>
      </c>
      <c r="Q431" s="118" t="s">
        <v>1166</v>
      </c>
      <c r="R431" s="1"/>
      <c r="S431" s="1" t="s">
        <v>1049</v>
      </c>
      <c r="T431" s="1"/>
      <c r="U431" s="24" t="s">
        <v>703</v>
      </c>
      <c r="V431" s="116" t="b">
        <f>OR(B431=$V$1,D431=$V$1,B431="2"&amp;$V$1)</f>
        <v>0</v>
      </c>
      <c r="W431" s="1" t="b">
        <f>OR(J431=$W$1,L431=$W$1,N431=$W$1,J431="2"&amp;$W$1,L431="2"&amp;$W$1,N431="2"&amp;$W$1)</f>
        <v>0</v>
      </c>
      <c r="Y431" s="25" t="str">
        <f>B431&amp;" + "&amp;D431&amp;IF(F431&lt;&gt;""," + "&amp;F431,"")&amp;"-&gt;"&amp;J431&amp;" + "&amp;L431&amp;IF(N431&lt;&gt;""," + "&amp;N431,"")</f>
        <v>H+ + O2--&gt;O2 + H</v>
      </c>
      <c r="Z431" s="29">
        <f>O431</f>
        <v>1.9900743804199784E-13</v>
      </c>
    </row>
    <row r="432" spans="1:26" ht="22.5" hidden="1" customHeight="1" x14ac:dyDescent="0.25">
      <c r="A432" s="1" t="s">
        <v>439</v>
      </c>
      <c r="B432" s="1" t="s">
        <v>685</v>
      </c>
      <c r="C432" s="2" t="s">
        <v>0</v>
      </c>
      <c r="D432" s="1" t="s">
        <v>1330</v>
      </c>
      <c r="E432" s="2"/>
      <c r="F432" s="22"/>
      <c r="G432" s="4" t="s">
        <v>7</v>
      </c>
      <c r="H432" s="112" t="s">
        <v>1558</v>
      </c>
      <c r="I432" s="4" t="s">
        <v>7</v>
      </c>
      <c r="J432" s="119" t="s">
        <v>638</v>
      </c>
      <c r="K432" s="2" t="s">
        <v>0</v>
      </c>
      <c r="L432" s="22" t="s">
        <v>653</v>
      </c>
      <c r="M432" s="2"/>
      <c r="N432" s="125"/>
      <c r="O432" s="126">
        <f>2*10^-13*(300/Tg)^0.5</f>
        <v>1.9900743804199784E-13</v>
      </c>
      <c r="P432" s="146">
        <v>1.9900743804199784E-13</v>
      </c>
      <c r="Q432" s="118" t="s">
        <v>1166</v>
      </c>
      <c r="R432" s="1"/>
      <c r="S432" s="1" t="s">
        <v>1049</v>
      </c>
      <c r="T432" s="1"/>
      <c r="U432" s="24" t="s">
        <v>703</v>
      </c>
      <c r="V432" s="116" t="b">
        <f>OR(B432=$V$1,D432=$V$1,B432="2"&amp;$V$1)</f>
        <v>0</v>
      </c>
      <c r="W432" s="1" t="b">
        <f>OR(J432=$W$1,L432=$W$1,N432=$W$1,J432="2"&amp;$W$1,L432="2"&amp;$W$1,N432="2"&amp;$W$1)</f>
        <v>0</v>
      </c>
      <c r="Y432" s="25" t="str">
        <f>B432&amp;" + "&amp;D432&amp;IF(F432&lt;&gt;""," + "&amp;F432,"")&amp;"-&gt;"&amp;J432&amp;" + "&amp;L432&amp;IF(N432&lt;&gt;""," + "&amp;N432,"")</f>
        <v>H+ + O3--&gt;O3 + H</v>
      </c>
      <c r="Z432" s="29">
        <f>O432</f>
        <v>1.9900743804199784E-13</v>
      </c>
    </row>
    <row r="433" spans="1:26" ht="22.5" hidden="1" customHeight="1" x14ac:dyDescent="0.25">
      <c r="A433" s="1" t="s">
        <v>440</v>
      </c>
      <c r="B433" s="1" t="s">
        <v>685</v>
      </c>
      <c r="C433" s="2" t="s">
        <v>0</v>
      </c>
      <c r="D433" s="1" t="s">
        <v>1331</v>
      </c>
      <c r="E433" s="2"/>
      <c r="F433" s="22"/>
      <c r="G433" s="4" t="s">
        <v>7</v>
      </c>
      <c r="H433" s="112" t="s">
        <v>1558</v>
      </c>
      <c r="I433" s="4" t="s">
        <v>7</v>
      </c>
      <c r="J433" s="119" t="s">
        <v>1409</v>
      </c>
      <c r="K433" s="2" t="s">
        <v>0</v>
      </c>
      <c r="L433" s="1" t="s">
        <v>653</v>
      </c>
      <c r="M433" s="2"/>
      <c r="N433" s="125"/>
      <c r="O433" s="126">
        <f>1*10^-13</f>
        <v>1E-13</v>
      </c>
      <c r="P433" s="146">
        <v>1E-13</v>
      </c>
      <c r="Q433" s="118" t="s">
        <v>1167</v>
      </c>
      <c r="R433" s="1"/>
      <c r="S433" s="1" t="s">
        <v>1049</v>
      </c>
      <c r="T433" s="1"/>
      <c r="U433" s="24" t="s">
        <v>703</v>
      </c>
      <c r="V433" s="116" t="b">
        <f>OR(B433=$V$1,D433=$V$1,B433="2"&amp;$V$1)</f>
        <v>0</v>
      </c>
      <c r="W433" s="1" t="b">
        <f>OR(J433=$W$1,L433=$W$1,N433=$W$1,J433="2"&amp;$W$1,L433="2"&amp;$W$1,N433="2"&amp;$W$1)</f>
        <v>0</v>
      </c>
      <c r="Y433" s="25" t="str">
        <f>B433&amp;" + "&amp;D433&amp;IF(F433&lt;&gt;""," + "&amp;F433,"")&amp;"-&gt;"&amp;J433&amp;" + "&amp;L433&amp;IF(N433&lt;&gt;""," + "&amp;N433,"")</f>
        <v>H+ + O4--&gt;2O2 + H</v>
      </c>
      <c r="Z433" s="29">
        <f>O433</f>
        <v>1E-13</v>
      </c>
    </row>
    <row r="434" spans="1:26" ht="22.5" hidden="1" customHeight="1" x14ac:dyDescent="0.25">
      <c r="A434" s="1" t="s">
        <v>441</v>
      </c>
      <c r="B434" s="1" t="s">
        <v>685</v>
      </c>
      <c r="C434" s="2" t="s">
        <v>0</v>
      </c>
      <c r="D434" s="1" t="s">
        <v>1323</v>
      </c>
      <c r="E434" s="2"/>
      <c r="F434" s="22"/>
      <c r="G434" s="4" t="s">
        <v>7</v>
      </c>
      <c r="H434" s="112" t="s">
        <v>1558</v>
      </c>
      <c r="I434" s="4" t="s">
        <v>7</v>
      </c>
      <c r="J434" s="119" t="s">
        <v>1415</v>
      </c>
      <c r="K434" s="2"/>
      <c r="L434" s="22"/>
      <c r="M434" s="2"/>
      <c r="N434" s="125"/>
      <c r="O434" s="126">
        <f>2*10^-13*(300/Tg)^0.5</f>
        <v>1.9900743804199784E-13</v>
      </c>
      <c r="P434" s="146">
        <v>1.9900743804199784E-13</v>
      </c>
      <c r="Q434" s="118" t="s">
        <v>1166</v>
      </c>
      <c r="R434" s="1"/>
      <c r="S434" s="1" t="s">
        <v>1049</v>
      </c>
      <c r="T434" s="1"/>
      <c r="U434" s="24" t="s">
        <v>703</v>
      </c>
      <c r="V434" s="116" t="b">
        <f>OR(B434=$V$1,D434=$V$1,B434="2"&amp;$V$1)</f>
        <v>0</v>
      </c>
      <c r="W434" s="1" t="b">
        <f>OR(J434=$W$1,L434=$W$1,N434=$W$1,J434="2"&amp;$W$1,L434="2"&amp;$W$1,N434="2"&amp;$W$1)</f>
        <v>0</v>
      </c>
      <c r="Y434" s="25" t="str">
        <f>B434&amp;" + "&amp;D434&amp;IF(F434&lt;&gt;""," + "&amp;F434,"")&amp;"-&gt;"&amp;J434&amp;" + "&amp;L434&amp;IF(N434&lt;&gt;""," + "&amp;N434,"")</f>
        <v xml:space="preserve">H+ + H--&gt;2H + </v>
      </c>
      <c r="Z434" s="29">
        <f>O434</f>
        <v>1.9900743804199784E-13</v>
      </c>
    </row>
    <row r="435" spans="1:26" ht="22.5" hidden="1" customHeight="1" x14ac:dyDescent="0.25">
      <c r="A435" s="1" t="s">
        <v>442</v>
      </c>
      <c r="B435" s="1" t="s">
        <v>685</v>
      </c>
      <c r="C435" s="2" t="s">
        <v>0</v>
      </c>
      <c r="D435" s="1" t="s">
        <v>1332</v>
      </c>
      <c r="E435" s="2"/>
      <c r="F435" s="22"/>
      <c r="G435" s="4" t="s">
        <v>7</v>
      </c>
      <c r="H435" s="112" t="s">
        <v>1558</v>
      </c>
      <c r="I435" s="4" t="s">
        <v>7</v>
      </c>
      <c r="J435" s="119" t="s">
        <v>654</v>
      </c>
      <c r="K435" s="2" t="s">
        <v>0</v>
      </c>
      <c r="L435" s="22" t="s">
        <v>653</v>
      </c>
      <c r="M435" s="2"/>
      <c r="N435" s="125"/>
      <c r="O435" s="126">
        <f>2*10^-13*(300/Tg)^0.5</f>
        <v>1.9900743804199784E-13</v>
      </c>
      <c r="P435" s="146">
        <v>1.9900743804199784E-13</v>
      </c>
      <c r="Q435" s="118" t="s">
        <v>1166</v>
      </c>
      <c r="R435" s="1"/>
      <c r="S435" s="1" t="s">
        <v>1049</v>
      </c>
      <c r="T435" s="1"/>
      <c r="U435" s="24" t="s">
        <v>703</v>
      </c>
      <c r="V435" s="116" t="b">
        <f>OR(B435=$V$1,D435=$V$1,B435="2"&amp;$V$1)</f>
        <v>0</v>
      </c>
      <c r="W435" s="1" t="b">
        <f>OR(J435=$W$1,L435=$W$1,N435=$W$1,J435="2"&amp;$W$1,L435="2"&amp;$W$1,N435="2"&amp;$W$1)</f>
        <v>0</v>
      </c>
      <c r="Y435" s="25" t="str">
        <f>B435&amp;" + "&amp;D435&amp;IF(F435&lt;&gt;""," + "&amp;F435,"")&amp;"-&gt;"&amp;J435&amp;" + "&amp;L435&amp;IF(N435&lt;&gt;""," + "&amp;N435,"")</f>
        <v>H+ + OH--&gt;OH + H</v>
      </c>
      <c r="Z435" s="29">
        <f>O435</f>
        <v>1.9900743804199784E-13</v>
      </c>
    </row>
    <row r="436" spans="1:26" ht="22.5" hidden="1" customHeight="1" x14ac:dyDescent="0.25">
      <c r="A436" s="1" t="s">
        <v>443</v>
      </c>
      <c r="B436" s="1" t="s">
        <v>835</v>
      </c>
      <c r="C436" s="2" t="s">
        <v>0</v>
      </c>
      <c r="D436" s="1" t="s">
        <v>1324</v>
      </c>
      <c r="E436" s="2"/>
      <c r="F436" s="22"/>
      <c r="G436" s="4" t="s">
        <v>7</v>
      </c>
      <c r="H436" s="112" t="s">
        <v>1558</v>
      </c>
      <c r="I436" s="4" t="s">
        <v>7</v>
      </c>
      <c r="J436" s="119" t="s">
        <v>1259</v>
      </c>
      <c r="K436" s="2" t="s">
        <v>0</v>
      </c>
      <c r="L436" s="1" t="s">
        <v>699</v>
      </c>
      <c r="M436" s="2"/>
      <c r="N436" s="125"/>
      <c r="O436" s="126">
        <f>2*10^-13*(300/Tg)^0.5</f>
        <v>1.9900743804199784E-13</v>
      </c>
      <c r="P436" s="146">
        <v>1.9900743804199784E-13</v>
      </c>
      <c r="Q436" s="118" t="s">
        <v>1166</v>
      </c>
      <c r="R436" s="1"/>
      <c r="S436" s="1" t="s">
        <v>1049</v>
      </c>
      <c r="T436" s="1"/>
      <c r="U436" s="24" t="s">
        <v>703</v>
      </c>
      <c r="V436" s="116" t="b">
        <f>OR(B436=$V$1,D436=$V$1,B436="2"&amp;$V$1)</f>
        <v>0</v>
      </c>
      <c r="W436" s="1" t="b">
        <f>OR(J436=$W$1,L436=$W$1,N436=$W$1,J436="2"&amp;$W$1,L436="2"&amp;$W$1,N436="2"&amp;$W$1)</f>
        <v>0</v>
      </c>
      <c r="Y436" s="25" t="str">
        <f>B436&amp;" + "&amp;D436&amp;IF(F436&lt;&gt;""," + "&amp;F436,"")&amp;"-&gt;"&amp;J436&amp;" + "&amp;L436&amp;IF(N436&lt;&gt;""," + "&amp;N436,"")</f>
        <v>H2+ + N2O--&gt;N2O + H2</v>
      </c>
      <c r="Z436" s="29">
        <f>O436</f>
        <v>1.9900743804199784E-13</v>
      </c>
    </row>
    <row r="437" spans="1:26" ht="22.5" hidden="1" customHeight="1" x14ac:dyDescent="0.25">
      <c r="A437" s="1" t="s">
        <v>444</v>
      </c>
      <c r="B437" s="1" t="s">
        <v>835</v>
      </c>
      <c r="C437" s="2" t="s">
        <v>0</v>
      </c>
      <c r="D437" s="1" t="s">
        <v>1324</v>
      </c>
      <c r="E437" s="2"/>
      <c r="F437" s="22"/>
      <c r="G437" s="4" t="s">
        <v>7</v>
      </c>
      <c r="H437" s="112" t="s">
        <v>1558</v>
      </c>
      <c r="I437" s="4" t="s">
        <v>7</v>
      </c>
      <c r="J437" s="119" t="s">
        <v>1259</v>
      </c>
      <c r="K437" s="2" t="s">
        <v>0</v>
      </c>
      <c r="L437" s="22" t="s">
        <v>1415</v>
      </c>
      <c r="M437" s="2"/>
      <c r="N437" s="125"/>
      <c r="O437" s="126">
        <f>1*10^-13</f>
        <v>1E-13</v>
      </c>
      <c r="P437" s="146">
        <v>1E-13</v>
      </c>
      <c r="Q437" s="118" t="s">
        <v>1167</v>
      </c>
      <c r="R437" s="1"/>
      <c r="S437" s="1" t="s">
        <v>1049</v>
      </c>
      <c r="T437" s="1"/>
      <c r="U437" s="24" t="s">
        <v>703</v>
      </c>
      <c r="V437" s="116" t="b">
        <f>OR(B437=$V$1,D437=$V$1,B437="2"&amp;$V$1)</f>
        <v>0</v>
      </c>
      <c r="W437" s="1" t="b">
        <f>OR(J437=$W$1,L437=$W$1,N437=$W$1,J437="2"&amp;$W$1,L437="2"&amp;$W$1,N437="2"&amp;$W$1)</f>
        <v>0</v>
      </c>
      <c r="Y437" s="25" t="str">
        <f>B437&amp;" + "&amp;D437&amp;IF(F437&lt;&gt;""," + "&amp;F437,"")&amp;"-&gt;"&amp;J437&amp;" + "&amp;L437&amp;IF(N437&lt;&gt;""," + "&amp;N437,"")</f>
        <v>H2+ + N2O--&gt;N2O + 2H</v>
      </c>
      <c r="Z437" s="29">
        <f>O437</f>
        <v>1E-13</v>
      </c>
    </row>
    <row r="438" spans="1:26" ht="22.5" hidden="1" customHeight="1" x14ac:dyDescent="0.25">
      <c r="A438" s="1" t="s">
        <v>445</v>
      </c>
      <c r="B438" s="1" t="s">
        <v>835</v>
      </c>
      <c r="C438" s="2" t="s">
        <v>0</v>
      </c>
      <c r="D438" s="1" t="s">
        <v>1325</v>
      </c>
      <c r="E438" s="2"/>
      <c r="F438" s="22"/>
      <c r="G438" s="4" t="s">
        <v>7</v>
      </c>
      <c r="H438" s="112" t="s">
        <v>1558</v>
      </c>
      <c r="I438" s="4" t="s">
        <v>7</v>
      </c>
      <c r="J438" s="119" t="s">
        <v>688</v>
      </c>
      <c r="K438" s="2" t="s">
        <v>0</v>
      </c>
      <c r="L438" s="1" t="s">
        <v>699</v>
      </c>
      <c r="M438" s="2"/>
      <c r="N438" s="125"/>
      <c r="O438" s="126">
        <f>2*10^-13*(300/Tg)^0.5</f>
        <v>1.9900743804199784E-13</v>
      </c>
      <c r="P438" s="146">
        <v>1.9900743804199784E-13</v>
      </c>
      <c r="Q438" s="118" t="s">
        <v>1166</v>
      </c>
      <c r="R438" s="1"/>
      <c r="S438" s="1" t="s">
        <v>1049</v>
      </c>
      <c r="T438" s="1"/>
      <c r="U438" s="24" t="s">
        <v>703</v>
      </c>
      <c r="V438" s="116" t="b">
        <f>OR(B438=$V$1,D438=$V$1,B438="2"&amp;$V$1)</f>
        <v>0</v>
      </c>
      <c r="W438" s="1" t="b">
        <f>OR(J438=$W$1,L438=$W$1,N438=$W$1,J438="2"&amp;$W$1,L438="2"&amp;$W$1,N438="2"&amp;$W$1)</f>
        <v>0</v>
      </c>
      <c r="Y438" s="25" t="str">
        <f>B438&amp;" + "&amp;D438&amp;IF(F438&lt;&gt;""," + "&amp;F438,"")&amp;"-&gt;"&amp;J438&amp;" + "&amp;L438&amp;IF(N438&lt;&gt;""," + "&amp;N438,"")</f>
        <v>H2+ + NO--&gt;NO + H2</v>
      </c>
      <c r="Z438" s="29">
        <f>O438</f>
        <v>1.9900743804199784E-13</v>
      </c>
    </row>
    <row r="439" spans="1:26" ht="22.5" hidden="1" customHeight="1" x14ac:dyDescent="0.25">
      <c r="A439" s="1" t="s">
        <v>446</v>
      </c>
      <c r="B439" s="1" t="s">
        <v>835</v>
      </c>
      <c r="C439" s="2" t="s">
        <v>0</v>
      </c>
      <c r="D439" s="1" t="s">
        <v>1325</v>
      </c>
      <c r="E439" s="2"/>
      <c r="F439" s="22"/>
      <c r="G439" s="4" t="s">
        <v>7</v>
      </c>
      <c r="H439" s="112" t="s">
        <v>1558</v>
      </c>
      <c r="I439" s="4" t="s">
        <v>7</v>
      </c>
      <c r="J439" s="119" t="s">
        <v>688</v>
      </c>
      <c r="K439" s="2" t="s">
        <v>0</v>
      </c>
      <c r="L439" s="22" t="s">
        <v>1415</v>
      </c>
      <c r="M439" s="2"/>
      <c r="N439" s="125"/>
      <c r="O439" s="126">
        <f>1*10^-13</f>
        <v>1E-13</v>
      </c>
      <c r="P439" s="146">
        <v>1E-13</v>
      </c>
      <c r="Q439" s="118" t="s">
        <v>1167</v>
      </c>
      <c r="R439" s="1"/>
      <c r="S439" s="1" t="s">
        <v>1049</v>
      </c>
      <c r="T439" s="1"/>
      <c r="U439" s="24" t="s">
        <v>703</v>
      </c>
      <c r="V439" s="116" t="b">
        <f>OR(B439=$V$1,D439=$V$1,B439="2"&amp;$V$1)</f>
        <v>0</v>
      </c>
      <c r="W439" s="1" t="b">
        <f>OR(J439=$W$1,L439=$W$1,N439=$W$1,J439="2"&amp;$W$1,L439="2"&amp;$W$1,N439="2"&amp;$W$1)</f>
        <v>0</v>
      </c>
      <c r="Y439" s="25" t="str">
        <f>B439&amp;" + "&amp;D439&amp;IF(F439&lt;&gt;""," + "&amp;F439,"")&amp;"-&gt;"&amp;J439&amp;" + "&amp;L439&amp;IF(N439&lt;&gt;""," + "&amp;N439,"")</f>
        <v>H2+ + NO--&gt;NO + 2H</v>
      </c>
      <c r="Z439" s="29">
        <f>O439</f>
        <v>1E-13</v>
      </c>
    </row>
    <row r="440" spans="1:26" ht="22.5" hidden="1" customHeight="1" x14ac:dyDescent="0.25">
      <c r="A440" s="1" t="s">
        <v>447</v>
      </c>
      <c r="B440" s="1" t="s">
        <v>835</v>
      </c>
      <c r="C440" s="2" t="s">
        <v>0</v>
      </c>
      <c r="D440" s="1" t="s">
        <v>1326</v>
      </c>
      <c r="E440" s="2"/>
      <c r="F440" s="22"/>
      <c r="G440" s="4" t="s">
        <v>7</v>
      </c>
      <c r="H440" s="112" t="s">
        <v>1558</v>
      </c>
      <c r="I440" s="4" t="s">
        <v>7</v>
      </c>
      <c r="J440" s="119" t="s">
        <v>1261</v>
      </c>
      <c r="K440" s="2" t="s">
        <v>0</v>
      </c>
      <c r="L440" s="1" t="s">
        <v>699</v>
      </c>
      <c r="M440" s="2"/>
      <c r="N440" s="125"/>
      <c r="O440" s="126">
        <f>2*10^-13*(300/Tg)^0.5</f>
        <v>1.9900743804199784E-13</v>
      </c>
      <c r="P440" s="146">
        <v>1.9900743804199784E-13</v>
      </c>
      <c r="Q440" s="118" t="s">
        <v>1166</v>
      </c>
      <c r="R440" s="1"/>
      <c r="S440" s="1" t="s">
        <v>1049</v>
      </c>
      <c r="T440" s="1"/>
      <c r="U440" s="24" t="s">
        <v>703</v>
      </c>
      <c r="V440" s="116" t="b">
        <f>OR(B440=$V$1,D440=$V$1,B440="2"&amp;$V$1)</f>
        <v>0</v>
      </c>
      <c r="W440" s="1" t="b">
        <f>OR(J440=$W$1,L440=$W$1,N440=$W$1,J440="2"&amp;$W$1,L440="2"&amp;$W$1,N440="2"&amp;$W$1)</f>
        <v>1</v>
      </c>
      <c r="Y440" s="25" t="str">
        <f>B440&amp;" + "&amp;D440&amp;IF(F440&lt;&gt;""," + "&amp;F440,"")&amp;"-&gt;"&amp;J440&amp;" + "&amp;L440&amp;IF(N440&lt;&gt;""," + "&amp;N440,"")</f>
        <v>H2+ + NO2--&gt;NO2 + H2</v>
      </c>
      <c r="Z440" s="29">
        <f>O440</f>
        <v>1.9900743804199784E-13</v>
      </c>
    </row>
    <row r="441" spans="1:26" ht="22.5" hidden="1" customHeight="1" x14ac:dyDescent="0.25">
      <c r="A441" s="1" t="s">
        <v>448</v>
      </c>
      <c r="B441" s="1" t="s">
        <v>835</v>
      </c>
      <c r="C441" s="2" t="s">
        <v>0</v>
      </c>
      <c r="D441" s="1" t="s">
        <v>1326</v>
      </c>
      <c r="E441" s="2"/>
      <c r="F441" s="22"/>
      <c r="G441" s="4" t="s">
        <v>7</v>
      </c>
      <c r="H441" s="112" t="s">
        <v>1558</v>
      </c>
      <c r="I441" s="4" t="s">
        <v>7</v>
      </c>
      <c r="J441" s="119" t="s">
        <v>1261</v>
      </c>
      <c r="K441" s="2" t="s">
        <v>0</v>
      </c>
      <c r="L441" s="22" t="s">
        <v>1415</v>
      </c>
      <c r="M441" s="2"/>
      <c r="N441" s="125"/>
      <c r="O441" s="126">
        <f>1*10^-13</f>
        <v>1E-13</v>
      </c>
      <c r="P441" s="146">
        <v>1E-13</v>
      </c>
      <c r="Q441" s="118" t="s">
        <v>1167</v>
      </c>
      <c r="R441" s="1"/>
      <c r="S441" s="1" t="s">
        <v>1049</v>
      </c>
      <c r="T441" s="1"/>
      <c r="U441" s="24" t="s">
        <v>703</v>
      </c>
      <c r="V441" s="116" t="b">
        <f>OR(B441=$V$1,D441=$V$1,B441="2"&amp;$V$1)</f>
        <v>0</v>
      </c>
      <c r="W441" s="1" t="b">
        <f>OR(J441=$W$1,L441=$W$1,N441=$W$1,J441="2"&amp;$W$1,L441="2"&amp;$W$1,N441="2"&amp;$W$1)</f>
        <v>1</v>
      </c>
      <c r="Y441" s="25" t="str">
        <f>B441&amp;" + "&amp;D441&amp;IF(F441&lt;&gt;""," + "&amp;F441,"")&amp;"-&gt;"&amp;J441&amp;" + "&amp;L441&amp;IF(N441&lt;&gt;""," + "&amp;N441,"")</f>
        <v>H2+ + NO2--&gt;NO2 + 2H</v>
      </c>
      <c r="Z441" s="29">
        <f>O441</f>
        <v>1E-13</v>
      </c>
    </row>
    <row r="442" spans="1:26" ht="22.5" hidden="1" customHeight="1" x14ac:dyDescent="0.25">
      <c r="A442" s="1" t="s">
        <v>449</v>
      </c>
      <c r="B442" s="1" t="s">
        <v>835</v>
      </c>
      <c r="C442" s="2" t="s">
        <v>0</v>
      </c>
      <c r="D442" s="1" t="s">
        <v>1327</v>
      </c>
      <c r="E442" s="2"/>
      <c r="F442" s="22"/>
      <c r="G442" s="4" t="s">
        <v>7</v>
      </c>
      <c r="H442" s="112" t="s">
        <v>1558</v>
      </c>
      <c r="I442" s="4" t="s">
        <v>7</v>
      </c>
      <c r="J442" s="119" t="s">
        <v>1263</v>
      </c>
      <c r="K442" s="2" t="s">
        <v>0</v>
      </c>
      <c r="L442" s="1" t="s">
        <v>699</v>
      </c>
      <c r="M442" s="2"/>
      <c r="N442" s="125"/>
      <c r="O442" s="126">
        <f>2*10^-13*(300/Tg)^0.5</f>
        <v>1.9900743804199784E-13</v>
      </c>
      <c r="P442" s="146">
        <v>1.9900743804199784E-13</v>
      </c>
      <c r="Q442" s="118" t="s">
        <v>1166</v>
      </c>
      <c r="R442" s="1"/>
      <c r="S442" s="1" t="s">
        <v>1049</v>
      </c>
      <c r="T442" s="1"/>
      <c r="U442" s="24" t="s">
        <v>703</v>
      </c>
      <c r="V442" s="116" t="b">
        <f>OR(B442=$V$1,D442=$V$1,B442="2"&amp;$V$1)</f>
        <v>0</v>
      </c>
      <c r="W442" s="1" t="b">
        <f>OR(J442=$W$1,L442=$W$1,N442=$W$1,J442="2"&amp;$W$1,L442="2"&amp;$W$1,N442="2"&amp;$W$1)</f>
        <v>0</v>
      </c>
      <c r="Y442" s="25" t="str">
        <f>B442&amp;" + "&amp;D442&amp;IF(F442&lt;&gt;""," + "&amp;F442,"")&amp;"-&gt;"&amp;J442&amp;" + "&amp;L442&amp;IF(N442&lt;&gt;""," + "&amp;N442,"")</f>
        <v>H2+ + NO3--&gt;NO3 + H2</v>
      </c>
      <c r="Z442" s="29">
        <f>O442</f>
        <v>1.9900743804199784E-13</v>
      </c>
    </row>
    <row r="443" spans="1:26" ht="22.5" hidden="1" customHeight="1" x14ac:dyDescent="0.25">
      <c r="A443" s="1" t="s">
        <v>450</v>
      </c>
      <c r="B443" s="1" t="s">
        <v>835</v>
      </c>
      <c r="C443" s="2" t="s">
        <v>0</v>
      </c>
      <c r="D443" s="1" t="s">
        <v>1327</v>
      </c>
      <c r="E443" s="2"/>
      <c r="F443" s="22"/>
      <c r="G443" s="4" t="s">
        <v>7</v>
      </c>
      <c r="H443" s="112" t="s">
        <v>1558</v>
      </c>
      <c r="I443" s="4" t="s">
        <v>7</v>
      </c>
      <c r="J443" s="119" t="s">
        <v>1263</v>
      </c>
      <c r="K443" s="2" t="s">
        <v>0</v>
      </c>
      <c r="L443" s="22" t="s">
        <v>1415</v>
      </c>
      <c r="M443" s="2"/>
      <c r="N443" s="125"/>
      <c r="O443" s="126">
        <f>1*10^-13</f>
        <v>1E-13</v>
      </c>
      <c r="P443" s="146">
        <v>1E-13</v>
      </c>
      <c r="Q443" s="118" t="s">
        <v>1167</v>
      </c>
      <c r="R443" s="1"/>
      <c r="S443" s="1" t="s">
        <v>1049</v>
      </c>
      <c r="T443" s="1"/>
      <c r="U443" s="24" t="s">
        <v>703</v>
      </c>
      <c r="V443" s="116" t="b">
        <f>OR(B443=$V$1,D443=$V$1,B443="2"&amp;$V$1)</f>
        <v>0</v>
      </c>
      <c r="W443" s="1" t="b">
        <f>OR(J443=$W$1,L443=$W$1,N443=$W$1,J443="2"&amp;$W$1,L443="2"&amp;$W$1,N443="2"&amp;$W$1)</f>
        <v>0</v>
      </c>
      <c r="Y443" s="25" t="str">
        <f>B443&amp;" + "&amp;D443&amp;IF(F443&lt;&gt;""," + "&amp;F443,"")&amp;"-&gt;"&amp;J443&amp;" + "&amp;L443&amp;IF(N443&lt;&gt;""," + "&amp;N443,"")</f>
        <v>H2+ + NO3--&gt;NO3 + 2H</v>
      </c>
      <c r="Z443" s="29">
        <f>O443</f>
        <v>1E-13</v>
      </c>
    </row>
    <row r="444" spans="1:26" ht="22.5" hidden="1" customHeight="1" x14ac:dyDescent="0.25">
      <c r="A444" s="1" t="s">
        <v>451</v>
      </c>
      <c r="B444" s="1" t="s">
        <v>835</v>
      </c>
      <c r="C444" s="2" t="s">
        <v>0</v>
      </c>
      <c r="D444" s="1" t="s">
        <v>1328</v>
      </c>
      <c r="E444" s="2"/>
      <c r="F444" s="22"/>
      <c r="G444" s="4" t="s">
        <v>7</v>
      </c>
      <c r="H444" s="112" t="s">
        <v>1558</v>
      </c>
      <c r="I444" s="4" t="s">
        <v>7</v>
      </c>
      <c r="J444" s="119" t="s">
        <v>639</v>
      </c>
      <c r="K444" s="2" t="s">
        <v>0</v>
      </c>
      <c r="L444" s="22" t="s">
        <v>1415</v>
      </c>
      <c r="M444" s="2"/>
      <c r="N444" s="125"/>
      <c r="O444" s="126">
        <f>1*10^-13</f>
        <v>1E-13</v>
      </c>
      <c r="P444" s="146">
        <v>1E-13</v>
      </c>
      <c r="Q444" s="118" t="s">
        <v>1167</v>
      </c>
      <c r="R444" s="1"/>
      <c r="S444" s="1" t="s">
        <v>1049</v>
      </c>
      <c r="T444" s="1"/>
      <c r="U444" s="24" t="s">
        <v>703</v>
      </c>
      <c r="V444" s="116" t="b">
        <f>OR(B444=$V$1,D444=$V$1,B444="2"&amp;$V$1)</f>
        <v>0</v>
      </c>
      <c r="W444" s="1" t="b">
        <f>OR(J444=$W$1,L444=$W$1,N444=$W$1,J444="2"&amp;$W$1,L444="2"&amp;$W$1,N444="2"&amp;$W$1)</f>
        <v>0</v>
      </c>
      <c r="Y444" s="25" t="str">
        <f>B444&amp;" + "&amp;D444&amp;IF(F444&lt;&gt;""," + "&amp;F444,"")&amp;"-&gt;"&amp;J444&amp;" + "&amp;L444&amp;IF(N444&lt;&gt;""," + "&amp;N444,"")</f>
        <v>H2+ + O--&gt;O + 2H</v>
      </c>
      <c r="Z444" s="29">
        <f>O444</f>
        <v>1E-13</v>
      </c>
    </row>
    <row r="445" spans="1:26" ht="22.5" hidden="1" customHeight="1" x14ac:dyDescent="0.25">
      <c r="A445" s="1" t="s">
        <v>452</v>
      </c>
      <c r="B445" s="1" t="s">
        <v>835</v>
      </c>
      <c r="C445" s="2" t="s">
        <v>0</v>
      </c>
      <c r="D445" s="1" t="s">
        <v>1328</v>
      </c>
      <c r="E445" s="2"/>
      <c r="F445" s="22"/>
      <c r="G445" s="4" t="s">
        <v>7</v>
      </c>
      <c r="H445" s="112" t="s">
        <v>1558</v>
      </c>
      <c r="I445" s="4" t="s">
        <v>7</v>
      </c>
      <c r="J445" s="119" t="s">
        <v>639</v>
      </c>
      <c r="K445" s="2" t="s">
        <v>0</v>
      </c>
      <c r="L445" s="1" t="s">
        <v>699</v>
      </c>
      <c r="M445" s="2"/>
      <c r="N445" s="125"/>
      <c r="O445" s="126">
        <f>2*10^-13*(300/Tg)^0.5</f>
        <v>1.9900743804199784E-13</v>
      </c>
      <c r="P445" s="146">
        <v>1.9900743804199784E-13</v>
      </c>
      <c r="Q445" s="118" t="s">
        <v>1166</v>
      </c>
      <c r="R445" s="1"/>
      <c r="S445" s="1" t="s">
        <v>1049</v>
      </c>
      <c r="T445" s="1"/>
      <c r="U445" s="24" t="s">
        <v>703</v>
      </c>
      <c r="V445" s="116" t="b">
        <f>OR(B445=$V$1,D445=$V$1,B445="2"&amp;$V$1)</f>
        <v>0</v>
      </c>
      <c r="W445" s="1" t="b">
        <f>OR(J445=$W$1,L445=$W$1,N445=$W$1,J445="2"&amp;$W$1,L445="2"&amp;$W$1,N445="2"&amp;$W$1)</f>
        <v>0</v>
      </c>
      <c r="Y445" s="25" t="str">
        <f>B445&amp;" + "&amp;D445&amp;IF(F445&lt;&gt;""," + "&amp;F445,"")&amp;"-&gt;"&amp;J445&amp;" + "&amp;L445&amp;IF(N445&lt;&gt;""," + "&amp;N445,"")</f>
        <v>H2+ + O--&gt;O + H2</v>
      </c>
      <c r="Z445" s="29">
        <f>O445</f>
        <v>1.9900743804199784E-13</v>
      </c>
    </row>
    <row r="446" spans="1:26" ht="22.5" hidden="1" customHeight="1" x14ac:dyDescent="0.25">
      <c r="A446" s="1" t="s">
        <v>453</v>
      </c>
      <c r="B446" s="1" t="s">
        <v>835</v>
      </c>
      <c r="C446" s="2" t="s">
        <v>0</v>
      </c>
      <c r="D446" s="1" t="s">
        <v>1329</v>
      </c>
      <c r="E446" s="2"/>
      <c r="F446" s="22"/>
      <c r="G446" s="4" t="s">
        <v>7</v>
      </c>
      <c r="H446" s="112" t="s">
        <v>1558</v>
      </c>
      <c r="I446" s="4" t="s">
        <v>7</v>
      </c>
      <c r="J446" s="119" t="s">
        <v>637</v>
      </c>
      <c r="K446" s="2" t="s">
        <v>0</v>
      </c>
      <c r="L446" s="22" t="s">
        <v>1415</v>
      </c>
      <c r="M446" s="2"/>
      <c r="N446" s="125"/>
      <c r="O446" s="126">
        <f>1*10^-13</f>
        <v>1E-13</v>
      </c>
      <c r="P446" s="146">
        <v>1E-13</v>
      </c>
      <c r="Q446" s="118" t="s">
        <v>1167</v>
      </c>
      <c r="R446" s="1"/>
      <c r="S446" s="1" t="s">
        <v>1049</v>
      </c>
      <c r="T446" s="1"/>
      <c r="U446" s="24" t="s">
        <v>703</v>
      </c>
      <c r="V446" s="116" t="b">
        <f>OR(B446=$V$1,D446=$V$1,B446="2"&amp;$V$1)</f>
        <v>0</v>
      </c>
      <c r="W446" s="1" t="b">
        <f>OR(J446=$W$1,L446=$W$1,N446=$W$1,J446="2"&amp;$W$1,L446="2"&amp;$W$1,N446="2"&amp;$W$1)</f>
        <v>0</v>
      </c>
      <c r="Y446" s="25" t="str">
        <f>B446&amp;" + "&amp;D446&amp;IF(F446&lt;&gt;""," + "&amp;F446,"")&amp;"-&gt;"&amp;J446&amp;" + "&amp;L446&amp;IF(N446&lt;&gt;""," + "&amp;N446,"")</f>
        <v>H2+ + O2--&gt;O2 + 2H</v>
      </c>
      <c r="Z446" s="29">
        <f>O446</f>
        <v>1E-13</v>
      </c>
    </row>
    <row r="447" spans="1:26" ht="22.5" hidden="1" customHeight="1" x14ac:dyDescent="0.25">
      <c r="A447" s="1" t="s">
        <v>454</v>
      </c>
      <c r="B447" s="1" t="s">
        <v>835</v>
      </c>
      <c r="C447" s="2" t="s">
        <v>0</v>
      </c>
      <c r="D447" s="1" t="s">
        <v>1329</v>
      </c>
      <c r="E447" s="2"/>
      <c r="F447" s="22"/>
      <c r="G447" s="4" t="s">
        <v>7</v>
      </c>
      <c r="H447" s="112" t="s">
        <v>1558</v>
      </c>
      <c r="I447" s="4" t="s">
        <v>7</v>
      </c>
      <c r="J447" s="119" t="s">
        <v>637</v>
      </c>
      <c r="K447" s="2" t="s">
        <v>0</v>
      </c>
      <c r="L447" s="1" t="s">
        <v>699</v>
      </c>
      <c r="M447" s="2"/>
      <c r="N447" s="125"/>
      <c r="O447" s="126">
        <f>2*10^-13*(300/Tg)^0.5</f>
        <v>1.9900743804199784E-13</v>
      </c>
      <c r="P447" s="146">
        <v>1.9900743804199784E-13</v>
      </c>
      <c r="Q447" s="118" t="s">
        <v>1166</v>
      </c>
      <c r="R447" s="1"/>
      <c r="S447" s="1" t="s">
        <v>1049</v>
      </c>
      <c r="T447" s="1"/>
      <c r="U447" s="24" t="s">
        <v>703</v>
      </c>
      <c r="V447" s="116" t="b">
        <f>OR(B447=$V$1,D447=$V$1,B447="2"&amp;$V$1)</f>
        <v>0</v>
      </c>
      <c r="W447" s="1" t="b">
        <f>OR(J447=$W$1,L447=$W$1,N447=$W$1,J447="2"&amp;$W$1,L447="2"&amp;$W$1,N447="2"&amp;$W$1)</f>
        <v>0</v>
      </c>
      <c r="Y447" s="25" t="str">
        <f>B447&amp;" + "&amp;D447&amp;IF(F447&lt;&gt;""," + "&amp;F447,"")&amp;"-&gt;"&amp;J447&amp;" + "&amp;L447&amp;IF(N447&lt;&gt;""," + "&amp;N447,"")</f>
        <v>H2+ + O2--&gt;O2 + H2</v>
      </c>
      <c r="Z447" s="29">
        <f>O447</f>
        <v>1.9900743804199784E-13</v>
      </c>
    </row>
    <row r="448" spans="1:26" ht="22.5" hidden="1" customHeight="1" x14ac:dyDescent="0.25">
      <c r="A448" s="1" t="s">
        <v>455</v>
      </c>
      <c r="B448" s="1" t="s">
        <v>835</v>
      </c>
      <c r="C448" s="2" t="s">
        <v>0</v>
      </c>
      <c r="D448" s="1" t="s">
        <v>1330</v>
      </c>
      <c r="E448" s="2"/>
      <c r="F448" s="22"/>
      <c r="G448" s="4" t="s">
        <v>7</v>
      </c>
      <c r="H448" s="112" t="s">
        <v>1558</v>
      </c>
      <c r="I448" s="4" t="s">
        <v>7</v>
      </c>
      <c r="J448" s="119" t="s">
        <v>638</v>
      </c>
      <c r="K448" s="2" t="s">
        <v>0</v>
      </c>
      <c r="L448" s="22" t="s">
        <v>1415</v>
      </c>
      <c r="M448" s="2"/>
      <c r="N448" s="125"/>
      <c r="O448" s="126">
        <f>1*10^-13</f>
        <v>1E-13</v>
      </c>
      <c r="P448" s="146">
        <v>1E-13</v>
      </c>
      <c r="Q448" s="118" t="s">
        <v>1167</v>
      </c>
      <c r="R448" s="1"/>
      <c r="S448" s="1" t="s">
        <v>1049</v>
      </c>
      <c r="T448" s="1"/>
      <c r="U448" s="24" t="s">
        <v>703</v>
      </c>
      <c r="V448" s="116" t="b">
        <f>OR(B448=$V$1,D448=$V$1,B448="2"&amp;$V$1)</f>
        <v>0</v>
      </c>
      <c r="W448" s="1" t="b">
        <f>OR(J448=$W$1,L448=$W$1,N448=$W$1,J448="2"&amp;$W$1,L448="2"&amp;$W$1,N448="2"&amp;$W$1)</f>
        <v>0</v>
      </c>
      <c r="Y448" s="25" t="str">
        <f>B448&amp;" + "&amp;D448&amp;IF(F448&lt;&gt;""," + "&amp;F448,"")&amp;"-&gt;"&amp;J448&amp;" + "&amp;L448&amp;IF(N448&lt;&gt;""," + "&amp;N448,"")</f>
        <v>H2+ + O3--&gt;O3 + 2H</v>
      </c>
      <c r="Z448" s="29">
        <f>O448</f>
        <v>1E-13</v>
      </c>
    </row>
    <row r="449" spans="1:26" ht="22.5" hidden="1" customHeight="1" x14ac:dyDescent="0.25">
      <c r="A449" s="1" t="s">
        <v>456</v>
      </c>
      <c r="B449" s="1" t="s">
        <v>835</v>
      </c>
      <c r="C449" s="2" t="s">
        <v>0</v>
      </c>
      <c r="D449" s="1" t="s">
        <v>1330</v>
      </c>
      <c r="E449" s="2"/>
      <c r="F449" s="22"/>
      <c r="G449" s="4" t="s">
        <v>7</v>
      </c>
      <c r="H449" s="112" t="s">
        <v>1558</v>
      </c>
      <c r="I449" s="4" t="s">
        <v>7</v>
      </c>
      <c r="J449" s="119" t="s">
        <v>638</v>
      </c>
      <c r="K449" s="2" t="s">
        <v>0</v>
      </c>
      <c r="L449" s="1" t="s">
        <v>699</v>
      </c>
      <c r="M449" s="2"/>
      <c r="N449" s="125"/>
      <c r="O449" s="126">
        <f>2*10^-13*(300/Tg)^0.5</f>
        <v>1.9900743804199784E-13</v>
      </c>
      <c r="P449" s="146">
        <v>1.9900743804199784E-13</v>
      </c>
      <c r="Q449" s="118" t="s">
        <v>1166</v>
      </c>
      <c r="R449" s="1"/>
      <c r="S449" s="1" t="s">
        <v>1049</v>
      </c>
      <c r="T449" s="1"/>
      <c r="U449" s="24" t="s">
        <v>703</v>
      </c>
      <c r="V449" s="116" t="b">
        <f>OR(B449=$V$1,D449=$V$1,B449="2"&amp;$V$1)</f>
        <v>0</v>
      </c>
      <c r="W449" s="1" t="b">
        <f>OR(J449=$W$1,L449=$W$1,N449=$W$1,J449="2"&amp;$W$1,L449="2"&amp;$W$1,N449="2"&amp;$W$1)</f>
        <v>0</v>
      </c>
      <c r="Y449" s="25" t="str">
        <f>B449&amp;" + "&amp;D449&amp;IF(F449&lt;&gt;""," + "&amp;F449,"")&amp;"-&gt;"&amp;J449&amp;" + "&amp;L449&amp;IF(N449&lt;&gt;""," + "&amp;N449,"")</f>
        <v>H2+ + O3--&gt;O3 + H2</v>
      </c>
      <c r="Z449" s="29">
        <f>O449</f>
        <v>1.9900743804199784E-13</v>
      </c>
    </row>
    <row r="450" spans="1:26" ht="22.5" hidden="1" customHeight="1" x14ac:dyDescent="0.25">
      <c r="A450" s="1" t="s">
        <v>457</v>
      </c>
      <c r="B450" s="1" t="s">
        <v>835</v>
      </c>
      <c r="C450" s="2" t="s">
        <v>0</v>
      </c>
      <c r="D450" s="1" t="s">
        <v>1331</v>
      </c>
      <c r="E450" s="2"/>
      <c r="F450" s="22"/>
      <c r="G450" s="4" t="s">
        <v>7</v>
      </c>
      <c r="H450" s="112" t="s">
        <v>1558</v>
      </c>
      <c r="I450" s="4" t="s">
        <v>7</v>
      </c>
      <c r="J450" s="1" t="s">
        <v>649</v>
      </c>
      <c r="K450" s="2" t="s">
        <v>0</v>
      </c>
      <c r="L450" s="1" t="s">
        <v>699</v>
      </c>
      <c r="M450" s="2"/>
      <c r="N450" s="128"/>
      <c r="O450" s="126">
        <f>1*10^-13</f>
        <v>1E-13</v>
      </c>
      <c r="P450" s="146">
        <v>1E-13</v>
      </c>
      <c r="Q450" s="118" t="s">
        <v>1167</v>
      </c>
      <c r="R450" s="1"/>
      <c r="S450" s="1" t="s">
        <v>1049</v>
      </c>
      <c r="T450" s="1"/>
      <c r="U450" s="24" t="s">
        <v>703</v>
      </c>
      <c r="V450" s="116" t="b">
        <f>OR(B450=$V$1,D450=$V$1,B450="2"&amp;$V$1)</f>
        <v>0</v>
      </c>
      <c r="W450" s="1" t="b">
        <f>OR(J450=$W$1,L450=$W$1,N450=$W$1,J450="2"&amp;$W$1,L450="2"&amp;$W$1,N450="2"&amp;$W$1)</f>
        <v>0</v>
      </c>
      <c r="Y450" s="25" t="str">
        <f>B450&amp;" + "&amp;D450&amp;IF(F450&lt;&gt;""," + "&amp;F450,"")&amp;"-&gt;"&amp;J450&amp;" + "&amp;L450&amp;IF(N450&lt;&gt;""," + "&amp;N450,"")</f>
        <v>H2+ + O4--&gt;O2 + H2</v>
      </c>
      <c r="Z450" s="29">
        <f>O450</f>
        <v>1E-13</v>
      </c>
    </row>
    <row r="451" spans="1:26" ht="22.5" hidden="1" customHeight="1" x14ac:dyDescent="0.25">
      <c r="A451" s="1" t="s">
        <v>458</v>
      </c>
      <c r="B451" s="1" t="s">
        <v>835</v>
      </c>
      <c r="C451" s="2" t="s">
        <v>0</v>
      </c>
      <c r="D451" s="1" t="s">
        <v>1323</v>
      </c>
      <c r="E451" s="2"/>
      <c r="F451" s="22"/>
      <c r="G451" s="4" t="s">
        <v>7</v>
      </c>
      <c r="H451" s="112" t="s">
        <v>1558</v>
      </c>
      <c r="I451" s="4" t="s">
        <v>7</v>
      </c>
      <c r="J451" s="119" t="s">
        <v>653</v>
      </c>
      <c r="K451" s="2" t="s">
        <v>0</v>
      </c>
      <c r="L451" s="1" t="s">
        <v>699</v>
      </c>
      <c r="M451" s="2"/>
      <c r="N451" s="125"/>
      <c r="O451" s="126">
        <f>2*10^-13*(300/Tg)^0.5</f>
        <v>1.9900743804199784E-13</v>
      </c>
      <c r="P451" s="146">
        <v>1.9900743804199784E-13</v>
      </c>
      <c r="Q451" s="118" t="s">
        <v>1166</v>
      </c>
      <c r="R451" s="1"/>
      <c r="S451" s="1" t="s">
        <v>1049</v>
      </c>
      <c r="T451" s="1"/>
      <c r="U451" s="24" t="s">
        <v>703</v>
      </c>
      <c r="V451" s="116" t="b">
        <f>OR(B451=$V$1,D451=$V$1,B451="2"&amp;$V$1)</f>
        <v>0</v>
      </c>
      <c r="W451" s="1" t="b">
        <f>OR(J451=$W$1,L451=$W$1,N451=$W$1,J451="2"&amp;$W$1,L451="2"&amp;$W$1,N451="2"&amp;$W$1)</f>
        <v>0</v>
      </c>
      <c r="Y451" s="25" t="str">
        <f>B451&amp;" + "&amp;D451&amp;IF(F451&lt;&gt;""," + "&amp;F451,"")&amp;"-&gt;"&amp;J451&amp;" + "&amp;L451&amp;IF(N451&lt;&gt;""," + "&amp;N451,"")</f>
        <v>H2+ + H--&gt;H + H2</v>
      </c>
      <c r="Z451" s="29">
        <f>O451</f>
        <v>1.9900743804199784E-13</v>
      </c>
    </row>
    <row r="452" spans="1:26" ht="22.5" hidden="1" customHeight="1" x14ac:dyDescent="0.25">
      <c r="A452" s="1" t="s">
        <v>459</v>
      </c>
      <c r="B452" s="1" t="s">
        <v>835</v>
      </c>
      <c r="C452" s="2" t="s">
        <v>0</v>
      </c>
      <c r="D452" s="1" t="s">
        <v>1323</v>
      </c>
      <c r="E452" s="2"/>
      <c r="F452" s="22"/>
      <c r="G452" s="4" t="s">
        <v>7</v>
      </c>
      <c r="H452" s="112" t="s">
        <v>1558</v>
      </c>
      <c r="I452" s="4" t="s">
        <v>7</v>
      </c>
      <c r="J452" s="119" t="s">
        <v>1412</v>
      </c>
      <c r="K452" s="2"/>
      <c r="L452" s="22"/>
      <c r="M452" s="2"/>
      <c r="N452" s="125"/>
      <c r="O452" s="126">
        <f>1*10^-13</f>
        <v>1E-13</v>
      </c>
      <c r="P452" s="146">
        <v>1E-13</v>
      </c>
      <c r="Q452" s="118" t="s">
        <v>1167</v>
      </c>
      <c r="R452" s="1"/>
      <c r="S452" s="1" t="s">
        <v>1049</v>
      </c>
      <c r="T452" s="1"/>
      <c r="U452" s="24" t="s">
        <v>703</v>
      </c>
      <c r="V452" s="116" t="b">
        <f>OR(B452=$V$1,D452=$V$1,B452="2"&amp;$V$1)</f>
        <v>0</v>
      </c>
      <c r="W452" s="1" t="b">
        <f>OR(J452=$W$1,L452=$W$1,N452=$W$1,J452="2"&amp;$W$1,L452="2"&amp;$W$1,N452="2"&amp;$W$1)</f>
        <v>0</v>
      </c>
      <c r="Y452" s="25" t="str">
        <f>B452&amp;" + "&amp;D452&amp;IF(F452&lt;&gt;""," + "&amp;F452,"")&amp;"-&gt;"&amp;J452&amp;" + "&amp;L452&amp;IF(N452&lt;&gt;""," + "&amp;N452,"")</f>
        <v xml:space="preserve">H2+ + H--&gt;3H + </v>
      </c>
      <c r="Z452" s="29">
        <f>O452</f>
        <v>1E-13</v>
      </c>
    </row>
    <row r="453" spans="1:26" ht="22.5" hidden="1" customHeight="1" x14ac:dyDescent="0.25">
      <c r="A453" s="1" t="s">
        <v>460</v>
      </c>
      <c r="B453" s="1" t="s">
        <v>835</v>
      </c>
      <c r="C453" s="2" t="s">
        <v>0</v>
      </c>
      <c r="D453" s="1" t="s">
        <v>1332</v>
      </c>
      <c r="E453" s="2"/>
      <c r="F453" s="22"/>
      <c r="G453" s="4" t="s">
        <v>7</v>
      </c>
      <c r="H453" s="112" t="s">
        <v>1558</v>
      </c>
      <c r="I453" s="4" t="s">
        <v>7</v>
      </c>
      <c r="J453" s="119" t="s">
        <v>654</v>
      </c>
      <c r="K453" s="2" t="s">
        <v>0</v>
      </c>
      <c r="L453" s="1" t="s">
        <v>699</v>
      </c>
      <c r="M453" s="2"/>
      <c r="N453" s="125"/>
      <c r="O453" s="126">
        <f>2*10^-13*(300/Tg)^0.5</f>
        <v>1.9900743804199784E-13</v>
      </c>
      <c r="P453" s="146">
        <v>1.9900743804199784E-13</v>
      </c>
      <c r="Q453" s="118" t="s">
        <v>1166</v>
      </c>
      <c r="R453" s="1"/>
      <c r="S453" s="1" t="s">
        <v>1049</v>
      </c>
      <c r="T453" s="1"/>
      <c r="U453" s="24" t="s">
        <v>703</v>
      </c>
      <c r="V453" s="116" t="b">
        <f>OR(B453=$V$1,D453=$V$1,B453="2"&amp;$V$1)</f>
        <v>0</v>
      </c>
      <c r="W453" s="1" t="b">
        <f>OR(J453=$W$1,L453=$W$1,N453=$W$1,J453="2"&amp;$W$1,L453="2"&amp;$W$1,N453="2"&amp;$W$1)</f>
        <v>0</v>
      </c>
      <c r="Y453" s="25" t="str">
        <f>B453&amp;" + "&amp;D453&amp;IF(F453&lt;&gt;""," + "&amp;F453,"")&amp;"-&gt;"&amp;J453&amp;" + "&amp;L453&amp;IF(N453&lt;&gt;""," + "&amp;N453,"")</f>
        <v>H2+ + OH--&gt;OH + H2</v>
      </c>
      <c r="Z453" s="29">
        <f>O453</f>
        <v>1.9900743804199784E-13</v>
      </c>
    </row>
    <row r="454" spans="1:26" ht="22.5" hidden="1" customHeight="1" x14ac:dyDescent="0.25">
      <c r="A454" s="1" t="s">
        <v>461</v>
      </c>
      <c r="B454" s="1" t="s">
        <v>835</v>
      </c>
      <c r="C454" s="2" t="s">
        <v>0</v>
      </c>
      <c r="D454" s="1" t="s">
        <v>1332</v>
      </c>
      <c r="E454" s="2"/>
      <c r="F454" s="22"/>
      <c r="G454" s="4" t="s">
        <v>7</v>
      </c>
      <c r="H454" s="112" t="s">
        <v>1558</v>
      </c>
      <c r="I454" s="4" t="s">
        <v>7</v>
      </c>
      <c r="J454" s="119" t="s">
        <v>654</v>
      </c>
      <c r="K454" s="2" t="s">
        <v>0</v>
      </c>
      <c r="L454" s="22" t="s">
        <v>1415</v>
      </c>
      <c r="M454" s="2"/>
      <c r="N454" s="125"/>
      <c r="O454" s="126">
        <f>1*10^-13</f>
        <v>1E-13</v>
      </c>
      <c r="P454" s="146">
        <v>1E-13</v>
      </c>
      <c r="Q454" s="118" t="s">
        <v>1167</v>
      </c>
      <c r="R454" s="1"/>
      <c r="S454" s="1" t="s">
        <v>1049</v>
      </c>
      <c r="T454" s="1"/>
      <c r="U454" s="24" t="s">
        <v>703</v>
      </c>
      <c r="V454" s="116" t="b">
        <f>OR(B454=$V$1,D454=$V$1,B454="2"&amp;$V$1)</f>
        <v>0</v>
      </c>
      <c r="W454" s="1" t="b">
        <f>OR(J454=$W$1,L454=$W$1,N454=$W$1,J454="2"&amp;$W$1,L454="2"&amp;$W$1,N454="2"&amp;$W$1)</f>
        <v>0</v>
      </c>
      <c r="Y454" s="25" t="str">
        <f>B454&amp;" + "&amp;D454&amp;IF(F454&lt;&gt;""," + "&amp;F454,"")&amp;"-&gt;"&amp;J454&amp;" + "&amp;L454&amp;IF(N454&lt;&gt;""," + "&amp;N454,"")</f>
        <v>H2+ + OH--&gt;OH + 2H</v>
      </c>
      <c r="Z454" s="29">
        <f>O454</f>
        <v>1E-13</v>
      </c>
    </row>
    <row r="455" spans="1:26" ht="22.5" hidden="1" customHeight="1" x14ac:dyDescent="0.25">
      <c r="A455" s="1" t="s">
        <v>462</v>
      </c>
      <c r="B455" s="1" t="s">
        <v>836</v>
      </c>
      <c r="C455" s="2" t="s">
        <v>0</v>
      </c>
      <c r="D455" s="1" t="s">
        <v>1324</v>
      </c>
      <c r="E455" s="2"/>
      <c r="F455" s="22"/>
      <c r="G455" s="4" t="s">
        <v>7</v>
      </c>
      <c r="H455" s="112" t="s">
        <v>1558</v>
      </c>
      <c r="I455" s="4" t="s">
        <v>7</v>
      </c>
      <c r="J455" s="119" t="s">
        <v>1259</v>
      </c>
      <c r="K455" s="2" t="s">
        <v>0</v>
      </c>
      <c r="L455" s="22" t="s">
        <v>653</v>
      </c>
      <c r="M455" s="2" t="s">
        <v>0</v>
      </c>
      <c r="N455" s="128" t="s">
        <v>699</v>
      </c>
      <c r="O455" s="126">
        <f>1*10^-13</f>
        <v>1E-13</v>
      </c>
      <c r="P455" s="146">
        <v>1E-13</v>
      </c>
      <c r="Q455" s="118" t="s">
        <v>1167</v>
      </c>
      <c r="R455" s="1"/>
      <c r="S455" s="1" t="s">
        <v>1049</v>
      </c>
      <c r="T455" s="1"/>
      <c r="U455" s="24" t="s">
        <v>690</v>
      </c>
      <c r="V455" s="116" t="b">
        <f>OR(B455=$V$1,D455=$V$1,B455="2"&amp;$V$1)</f>
        <v>0</v>
      </c>
      <c r="W455" s="1" t="b">
        <f>OR(J455=$W$1,L455=$W$1,N455=$W$1,J455="2"&amp;$W$1,L455="2"&amp;$W$1,N455="2"&amp;$W$1)</f>
        <v>0</v>
      </c>
      <c r="Y455" s="25" t="str">
        <f>B455&amp;" + "&amp;D455&amp;IF(F455&lt;&gt;""," + "&amp;F455,"")&amp;"-&gt;"&amp;J455&amp;" + "&amp;L455&amp;IF(N455&lt;&gt;""," + "&amp;N455,"")</f>
        <v>H3+ + N2O--&gt;N2O + H + H2</v>
      </c>
      <c r="Z455" s="29">
        <f>O455</f>
        <v>1E-13</v>
      </c>
    </row>
    <row r="456" spans="1:26" ht="22.5" hidden="1" customHeight="1" x14ac:dyDescent="0.25">
      <c r="A456" s="1" t="s">
        <v>463</v>
      </c>
      <c r="B456" s="1" t="s">
        <v>836</v>
      </c>
      <c r="C456" s="2" t="s">
        <v>0</v>
      </c>
      <c r="D456" s="1" t="s">
        <v>1325</v>
      </c>
      <c r="E456" s="2"/>
      <c r="F456" s="22"/>
      <c r="G456" s="4" t="s">
        <v>7</v>
      </c>
      <c r="H456" s="112" t="s">
        <v>1558</v>
      </c>
      <c r="I456" s="4" t="s">
        <v>7</v>
      </c>
      <c r="J456" s="119" t="s">
        <v>688</v>
      </c>
      <c r="K456" s="2" t="s">
        <v>0</v>
      </c>
      <c r="L456" s="22" t="s">
        <v>653</v>
      </c>
      <c r="M456" s="2" t="s">
        <v>0</v>
      </c>
      <c r="N456" s="128" t="s">
        <v>699</v>
      </c>
      <c r="O456" s="126">
        <f>1*10^-13</f>
        <v>1E-13</v>
      </c>
      <c r="P456" s="146">
        <v>1E-13</v>
      </c>
      <c r="Q456" s="118" t="s">
        <v>1167</v>
      </c>
      <c r="R456" s="1"/>
      <c r="S456" s="1" t="s">
        <v>1049</v>
      </c>
      <c r="T456" s="1"/>
      <c r="U456" s="24" t="s">
        <v>690</v>
      </c>
      <c r="V456" s="116" t="b">
        <f>OR(B456=$V$1,D456=$V$1,B456="2"&amp;$V$1)</f>
        <v>0</v>
      </c>
      <c r="W456" s="1" t="b">
        <f>OR(J456=$W$1,L456=$W$1,N456=$W$1,J456="2"&amp;$W$1,L456="2"&amp;$W$1,N456="2"&amp;$W$1)</f>
        <v>0</v>
      </c>
      <c r="Y456" s="25" t="str">
        <f>B456&amp;" + "&amp;D456&amp;IF(F456&lt;&gt;""," + "&amp;F456,"")&amp;"-&gt;"&amp;J456&amp;" + "&amp;L456&amp;IF(N456&lt;&gt;""," + "&amp;N456,"")</f>
        <v>H3+ + NO--&gt;NO + H + H2</v>
      </c>
      <c r="Z456" s="29">
        <f>O456</f>
        <v>1E-13</v>
      </c>
    </row>
    <row r="457" spans="1:26" ht="22.5" hidden="1" customHeight="1" x14ac:dyDescent="0.25">
      <c r="A457" s="1" t="s">
        <v>464</v>
      </c>
      <c r="B457" s="1" t="s">
        <v>836</v>
      </c>
      <c r="C457" s="2" t="s">
        <v>0</v>
      </c>
      <c r="D457" s="1" t="s">
        <v>1326</v>
      </c>
      <c r="E457" s="2"/>
      <c r="F457" s="22"/>
      <c r="G457" s="4" t="s">
        <v>7</v>
      </c>
      <c r="H457" s="112" t="s">
        <v>1558</v>
      </c>
      <c r="I457" s="4" t="s">
        <v>7</v>
      </c>
      <c r="J457" s="119" t="s">
        <v>1261</v>
      </c>
      <c r="K457" s="2" t="s">
        <v>0</v>
      </c>
      <c r="L457" s="22" t="s">
        <v>653</v>
      </c>
      <c r="M457" s="2" t="s">
        <v>0</v>
      </c>
      <c r="N457" s="128" t="s">
        <v>699</v>
      </c>
      <c r="O457" s="126">
        <f>1*10^-13</f>
        <v>1E-13</v>
      </c>
      <c r="P457" s="146">
        <v>1E-13</v>
      </c>
      <c r="Q457" s="118" t="s">
        <v>1167</v>
      </c>
      <c r="R457" s="1"/>
      <c r="S457" s="1" t="s">
        <v>1049</v>
      </c>
      <c r="T457" s="1"/>
      <c r="U457" s="24" t="s">
        <v>690</v>
      </c>
      <c r="V457" s="116" t="b">
        <f>OR(B457=$V$1,D457=$V$1,B457="2"&amp;$V$1)</f>
        <v>0</v>
      </c>
      <c r="W457" s="1" t="b">
        <f>OR(J457=$W$1,L457=$W$1,N457=$W$1,J457="2"&amp;$W$1,L457="2"&amp;$W$1,N457="2"&amp;$W$1)</f>
        <v>1</v>
      </c>
      <c r="Y457" s="25" t="str">
        <f>B457&amp;" + "&amp;D457&amp;IF(F457&lt;&gt;""," + "&amp;F457,"")&amp;"-&gt;"&amp;J457&amp;" + "&amp;L457&amp;IF(N457&lt;&gt;""," + "&amp;N457,"")</f>
        <v>H3+ + NO2--&gt;NO2 + H + H2</v>
      </c>
      <c r="Z457" s="29">
        <f>O457</f>
        <v>1E-13</v>
      </c>
    </row>
    <row r="458" spans="1:26" ht="22.5" hidden="1" customHeight="1" x14ac:dyDescent="0.25">
      <c r="A458" s="1" t="s">
        <v>465</v>
      </c>
      <c r="B458" s="1" t="s">
        <v>836</v>
      </c>
      <c r="C458" s="2" t="s">
        <v>0</v>
      </c>
      <c r="D458" s="1" t="s">
        <v>1327</v>
      </c>
      <c r="E458" s="2"/>
      <c r="F458" s="22"/>
      <c r="G458" s="4" t="s">
        <v>7</v>
      </c>
      <c r="H458" s="112" t="s">
        <v>1558</v>
      </c>
      <c r="I458" s="4" t="s">
        <v>7</v>
      </c>
      <c r="J458" s="119" t="s">
        <v>1263</v>
      </c>
      <c r="K458" s="2" t="s">
        <v>0</v>
      </c>
      <c r="L458" s="22" t="s">
        <v>653</v>
      </c>
      <c r="M458" s="2" t="s">
        <v>0</v>
      </c>
      <c r="N458" s="128" t="s">
        <v>699</v>
      </c>
      <c r="O458" s="126">
        <f>1*10^-13</f>
        <v>1E-13</v>
      </c>
      <c r="P458" s="146">
        <v>1E-13</v>
      </c>
      <c r="Q458" s="118" t="s">
        <v>1167</v>
      </c>
      <c r="R458" s="1"/>
      <c r="S458" s="1" t="s">
        <v>1049</v>
      </c>
      <c r="T458" s="1"/>
      <c r="U458" s="24" t="s">
        <v>690</v>
      </c>
      <c r="V458" s="116" t="b">
        <f>OR(B458=$V$1,D458=$V$1,B458="2"&amp;$V$1)</f>
        <v>0</v>
      </c>
      <c r="W458" s="1" t="b">
        <f>OR(J458=$W$1,L458=$W$1,N458=$W$1,J458="2"&amp;$W$1,L458="2"&amp;$W$1,N458="2"&amp;$W$1)</f>
        <v>0</v>
      </c>
      <c r="Y458" s="25" t="str">
        <f>B458&amp;" + "&amp;D458&amp;IF(F458&lt;&gt;""," + "&amp;F458,"")&amp;"-&gt;"&amp;J458&amp;" + "&amp;L458&amp;IF(N458&lt;&gt;""," + "&amp;N458,"")</f>
        <v>H3+ + NO3--&gt;NO3 + H + H2</v>
      </c>
      <c r="Z458" s="29">
        <f>O458</f>
        <v>1E-13</v>
      </c>
    </row>
    <row r="459" spans="1:26" ht="22.5" hidden="1" customHeight="1" x14ac:dyDescent="0.25">
      <c r="A459" s="1" t="s">
        <v>466</v>
      </c>
      <c r="B459" s="1" t="s">
        <v>836</v>
      </c>
      <c r="C459" s="2" t="s">
        <v>0</v>
      </c>
      <c r="D459" s="1" t="s">
        <v>1328</v>
      </c>
      <c r="E459" s="2"/>
      <c r="F459" s="22"/>
      <c r="G459" s="4" t="s">
        <v>7</v>
      </c>
      <c r="H459" s="112" t="s">
        <v>1558</v>
      </c>
      <c r="I459" s="4" t="s">
        <v>7</v>
      </c>
      <c r="J459" s="119" t="s">
        <v>639</v>
      </c>
      <c r="K459" s="2" t="s">
        <v>0</v>
      </c>
      <c r="L459" s="22" t="s">
        <v>653</v>
      </c>
      <c r="M459" s="2" t="s">
        <v>0</v>
      </c>
      <c r="N459" s="128" t="s">
        <v>699</v>
      </c>
      <c r="O459" s="126">
        <f>1*10^-13</f>
        <v>1E-13</v>
      </c>
      <c r="P459" s="146">
        <v>1E-13</v>
      </c>
      <c r="Q459" s="118" t="s">
        <v>1167</v>
      </c>
      <c r="R459" s="1"/>
      <c r="S459" s="1" t="s">
        <v>1049</v>
      </c>
      <c r="T459" s="1"/>
      <c r="U459" s="24" t="s">
        <v>690</v>
      </c>
      <c r="V459" s="116" t="b">
        <f>OR(B459=$V$1,D459=$V$1,B459="2"&amp;$V$1)</f>
        <v>0</v>
      </c>
      <c r="W459" s="1" t="b">
        <f>OR(J459=$W$1,L459=$W$1,N459=$W$1,J459="2"&amp;$W$1,L459="2"&amp;$W$1,N459="2"&amp;$W$1)</f>
        <v>0</v>
      </c>
      <c r="Y459" s="25" t="str">
        <f>B459&amp;" + "&amp;D459&amp;IF(F459&lt;&gt;""," + "&amp;F459,"")&amp;"-&gt;"&amp;J459&amp;" + "&amp;L459&amp;IF(N459&lt;&gt;""," + "&amp;N459,"")</f>
        <v>H3+ + O--&gt;O + H + H2</v>
      </c>
      <c r="Z459" s="29">
        <f>O459</f>
        <v>1E-13</v>
      </c>
    </row>
    <row r="460" spans="1:26" ht="22.5" hidden="1" customHeight="1" x14ac:dyDescent="0.25">
      <c r="A460" s="1" t="s">
        <v>467</v>
      </c>
      <c r="B460" s="1" t="s">
        <v>836</v>
      </c>
      <c r="C460" s="2" t="s">
        <v>0</v>
      </c>
      <c r="D460" s="1" t="s">
        <v>1329</v>
      </c>
      <c r="E460" s="2"/>
      <c r="F460" s="22"/>
      <c r="G460" s="4" t="s">
        <v>7</v>
      </c>
      <c r="H460" s="112" t="s">
        <v>1558</v>
      </c>
      <c r="I460" s="4" t="s">
        <v>7</v>
      </c>
      <c r="J460" s="119" t="s">
        <v>637</v>
      </c>
      <c r="K460" s="2" t="s">
        <v>0</v>
      </c>
      <c r="L460" s="22" t="s">
        <v>653</v>
      </c>
      <c r="M460" s="2" t="s">
        <v>0</v>
      </c>
      <c r="N460" s="128" t="s">
        <v>699</v>
      </c>
      <c r="O460" s="126">
        <f>1*10^-13</f>
        <v>1E-13</v>
      </c>
      <c r="P460" s="146">
        <v>1E-13</v>
      </c>
      <c r="Q460" s="118" t="s">
        <v>1167</v>
      </c>
      <c r="R460" s="1"/>
      <c r="S460" s="1" t="s">
        <v>1049</v>
      </c>
      <c r="T460" s="1"/>
      <c r="U460" s="24" t="s">
        <v>756</v>
      </c>
      <c r="V460" s="116" t="b">
        <f>OR(B460=$V$1,D460=$V$1,B460="2"&amp;$V$1)</f>
        <v>0</v>
      </c>
      <c r="W460" s="1" t="b">
        <f>OR(J460=$W$1,L460=$W$1,N460=$W$1,J460="2"&amp;$W$1,L460="2"&amp;$W$1,N460="2"&amp;$W$1)</f>
        <v>0</v>
      </c>
      <c r="Y460" s="25" t="str">
        <f>B460&amp;" + "&amp;D460&amp;IF(F460&lt;&gt;""," + "&amp;F460,"")&amp;"-&gt;"&amp;J460&amp;" + "&amp;L460&amp;IF(N460&lt;&gt;""," + "&amp;N460,"")</f>
        <v>H3+ + O2--&gt;O2 + H + H2</v>
      </c>
      <c r="Z460" s="29">
        <f>O460</f>
        <v>1E-13</v>
      </c>
    </row>
    <row r="461" spans="1:26" ht="22.5" hidden="1" customHeight="1" x14ac:dyDescent="0.25">
      <c r="A461" s="1" t="s">
        <v>468</v>
      </c>
      <c r="B461" s="1" t="s">
        <v>836</v>
      </c>
      <c r="C461" s="2" t="s">
        <v>0</v>
      </c>
      <c r="D461" s="1" t="s">
        <v>1330</v>
      </c>
      <c r="E461" s="2"/>
      <c r="F461" s="22"/>
      <c r="G461" s="4" t="s">
        <v>7</v>
      </c>
      <c r="H461" s="112" t="s">
        <v>1558</v>
      </c>
      <c r="I461" s="4" t="s">
        <v>7</v>
      </c>
      <c r="J461" s="119" t="s">
        <v>638</v>
      </c>
      <c r="K461" s="2" t="s">
        <v>0</v>
      </c>
      <c r="L461" s="22" t="s">
        <v>653</v>
      </c>
      <c r="M461" s="2" t="s">
        <v>0</v>
      </c>
      <c r="N461" s="128" t="s">
        <v>699</v>
      </c>
      <c r="O461" s="126">
        <f>1*10^-13</f>
        <v>1E-13</v>
      </c>
      <c r="P461" s="146">
        <v>1E-13</v>
      </c>
      <c r="Q461" s="118" t="s">
        <v>1167</v>
      </c>
      <c r="R461" s="1"/>
      <c r="S461" s="1" t="s">
        <v>1049</v>
      </c>
      <c r="T461" s="1"/>
      <c r="U461" s="24" t="s">
        <v>690</v>
      </c>
      <c r="V461" s="116" t="b">
        <f>OR(B461=$V$1,D461=$V$1,B461="2"&amp;$V$1)</f>
        <v>0</v>
      </c>
      <c r="W461" s="1" t="b">
        <f>OR(J461=$W$1,L461=$W$1,N461=$W$1,J461="2"&amp;$W$1,L461="2"&amp;$W$1,N461="2"&amp;$W$1)</f>
        <v>0</v>
      </c>
      <c r="Y461" s="25" t="str">
        <f>B461&amp;" + "&amp;D461&amp;IF(F461&lt;&gt;""," + "&amp;F461,"")&amp;"-&gt;"&amp;J461&amp;" + "&amp;L461&amp;IF(N461&lt;&gt;""," + "&amp;N461,"")</f>
        <v>H3+ + O3--&gt;O3 + H + H2</v>
      </c>
      <c r="Z461" s="29">
        <f>O461</f>
        <v>1E-13</v>
      </c>
    </row>
    <row r="462" spans="1:26" ht="22.5" hidden="1" customHeight="1" x14ac:dyDescent="0.25">
      <c r="A462" s="1" t="s">
        <v>469</v>
      </c>
      <c r="B462" s="1" t="s">
        <v>836</v>
      </c>
      <c r="C462" s="2" t="s">
        <v>0</v>
      </c>
      <c r="D462" s="1" t="s">
        <v>1331</v>
      </c>
      <c r="E462" s="2"/>
      <c r="F462" s="22"/>
      <c r="G462" s="4" t="s">
        <v>7</v>
      </c>
      <c r="H462" s="112" t="s">
        <v>1558</v>
      </c>
      <c r="I462" s="4" t="s">
        <v>7</v>
      </c>
      <c r="J462" s="119" t="s">
        <v>1409</v>
      </c>
      <c r="K462" s="2" t="s">
        <v>0</v>
      </c>
      <c r="L462" s="22" t="s">
        <v>653</v>
      </c>
      <c r="M462" s="1" t="s">
        <v>0</v>
      </c>
      <c r="N462" s="128" t="s">
        <v>699</v>
      </c>
      <c r="O462" s="126">
        <f>1*10^-13</f>
        <v>1E-13</v>
      </c>
      <c r="P462" s="146">
        <v>1E-13</v>
      </c>
      <c r="Q462" s="118" t="s">
        <v>1167</v>
      </c>
      <c r="R462" s="1"/>
      <c r="S462" s="1" t="s">
        <v>1049</v>
      </c>
      <c r="T462" s="1"/>
      <c r="U462" s="24" t="s">
        <v>690</v>
      </c>
      <c r="V462" s="116" t="b">
        <f>OR(B462=$V$1,D462=$V$1,B462="2"&amp;$V$1)</f>
        <v>0</v>
      </c>
      <c r="W462" s="1" t="b">
        <f>OR(J462=$W$1,L462=$W$1,N462=$W$1,J462="2"&amp;$W$1,L462="2"&amp;$W$1,N462="2"&amp;$W$1)</f>
        <v>0</v>
      </c>
      <c r="Y462" s="25" t="str">
        <f>B462&amp;" + "&amp;D462&amp;IF(F462&lt;&gt;""," + "&amp;F462,"")&amp;"-&gt;"&amp;J462&amp;" + "&amp;L462&amp;IF(N462&lt;&gt;""," + "&amp;N462,"")</f>
        <v>H3+ + O4--&gt;2O2 + H + H2</v>
      </c>
      <c r="Z462" s="29">
        <f>O462</f>
        <v>1E-13</v>
      </c>
    </row>
    <row r="463" spans="1:26" ht="22.5" hidden="1" customHeight="1" x14ac:dyDescent="0.25">
      <c r="A463" s="1" t="s">
        <v>470</v>
      </c>
      <c r="B463" s="1" t="s">
        <v>836</v>
      </c>
      <c r="C463" s="2" t="s">
        <v>0</v>
      </c>
      <c r="D463" s="1" t="s">
        <v>1323</v>
      </c>
      <c r="E463" s="2"/>
      <c r="F463" s="22"/>
      <c r="G463" s="4" t="s">
        <v>7</v>
      </c>
      <c r="H463" s="112" t="s">
        <v>1558</v>
      </c>
      <c r="I463" s="4" t="s">
        <v>7</v>
      </c>
      <c r="J463" s="119" t="s">
        <v>1415</v>
      </c>
      <c r="K463" s="2" t="s">
        <v>0</v>
      </c>
      <c r="L463" s="22" t="s">
        <v>640</v>
      </c>
      <c r="M463" s="2"/>
      <c r="N463" s="128"/>
      <c r="O463" s="126">
        <f>1*10^-13</f>
        <v>1E-13</v>
      </c>
      <c r="P463" s="146">
        <v>1E-13</v>
      </c>
      <c r="Q463" s="118" t="s">
        <v>1167</v>
      </c>
      <c r="R463" s="1"/>
      <c r="S463" s="1" t="s">
        <v>1049</v>
      </c>
      <c r="T463" s="1"/>
      <c r="U463" s="24" t="s">
        <v>703</v>
      </c>
      <c r="V463" s="116" t="b">
        <f>OR(B463=$V$1,D463=$V$1,B463="2"&amp;$V$1)</f>
        <v>0</v>
      </c>
      <c r="W463" s="1" t="b">
        <f>OR(J463=$W$1,L463=$W$1,N463=$W$1,J463="2"&amp;$W$1,L463="2"&amp;$W$1,N463="2"&amp;$W$1)</f>
        <v>0</v>
      </c>
      <c r="Y463" s="25" t="str">
        <f>B463&amp;" + "&amp;D463&amp;IF(F463&lt;&gt;""," + "&amp;F463,"")&amp;"-&gt;"&amp;J463&amp;" + "&amp;L463&amp;IF(N463&lt;&gt;""," + "&amp;N463,"")</f>
        <v>H3+ + H--&gt;2H + H2</v>
      </c>
      <c r="Z463" s="29">
        <f>O463</f>
        <v>1E-13</v>
      </c>
    </row>
    <row r="464" spans="1:26" ht="22.5" hidden="1" customHeight="1" x14ac:dyDescent="0.25">
      <c r="A464" s="1" t="s">
        <v>471</v>
      </c>
      <c r="B464" s="1" t="s">
        <v>836</v>
      </c>
      <c r="C464" s="2" t="s">
        <v>0</v>
      </c>
      <c r="D464" s="1" t="s">
        <v>1332</v>
      </c>
      <c r="E464" s="2"/>
      <c r="F464" s="22"/>
      <c r="G464" s="4" t="s">
        <v>7</v>
      </c>
      <c r="H464" s="112" t="s">
        <v>1558</v>
      </c>
      <c r="I464" s="4" t="s">
        <v>7</v>
      </c>
      <c r="J464" s="119" t="s">
        <v>654</v>
      </c>
      <c r="K464" s="2" t="s">
        <v>0</v>
      </c>
      <c r="L464" s="22" t="s">
        <v>653</v>
      </c>
      <c r="M464" s="2" t="s">
        <v>0</v>
      </c>
      <c r="N464" s="128" t="s">
        <v>699</v>
      </c>
      <c r="O464" s="126">
        <f>1*10^-13</f>
        <v>1E-13</v>
      </c>
      <c r="P464" s="146">
        <v>1E-13</v>
      </c>
      <c r="Q464" s="118" t="s">
        <v>1167</v>
      </c>
      <c r="R464" s="1"/>
      <c r="S464" s="1" t="s">
        <v>1049</v>
      </c>
      <c r="T464" s="1"/>
      <c r="U464" s="24" t="s">
        <v>703</v>
      </c>
      <c r="V464" s="116" t="b">
        <f>OR(B464=$V$1,D464=$V$1,B464="2"&amp;$V$1)</f>
        <v>0</v>
      </c>
      <c r="W464" s="1" t="b">
        <f>OR(J464=$W$1,L464=$W$1,N464=$W$1,J464="2"&amp;$W$1,L464="2"&amp;$W$1,N464="2"&amp;$W$1)</f>
        <v>0</v>
      </c>
      <c r="Y464" s="25" t="str">
        <f>B464&amp;" + "&amp;D464&amp;IF(F464&lt;&gt;""," + "&amp;F464,"")&amp;"-&gt;"&amp;J464&amp;" + "&amp;L464&amp;IF(N464&lt;&gt;""," + "&amp;N464,"")</f>
        <v>H3+ + OH--&gt;OH + H + H2</v>
      </c>
      <c r="Z464" s="29">
        <f>O464</f>
        <v>1E-13</v>
      </c>
    </row>
    <row r="465" spans="1:26" ht="22.5" hidden="1" customHeight="1" x14ac:dyDescent="0.25">
      <c r="A465" s="1" t="s">
        <v>472</v>
      </c>
      <c r="B465" s="1" t="s">
        <v>652</v>
      </c>
      <c r="C465" s="2" t="s">
        <v>0</v>
      </c>
      <c r="D465" s="1" t="s">
        <v>1324</v>
      </c>
      <c r="E465" s="2"/>
      <c r="F465" s="22"/>
      <c r="G465" s="4" t="s">
        <v>7</v>
      </c>
      <c r="H465" s="112" t="s">
        <v>1558</v>
      </c>
      <c r="I465" s="4" t="s">
        <v>7</v>
      </c>
      <c r="J465" s="119" t="s">
        <v>1259</v>
      </c>
      <c r="K465" s="2" t="s">
        <v>0</v>
      </c>
      <c r="L465" s="22" t="s">
        <v>654</v>
      </c>
      <c r="M465" s="2"/>
      <c r="N465" s="125"/>
      <c r="O465" s="126">
        <f>2*10^-13*(300/Tg)^0.5</f>
        <v>1.9900743804199784E-13</v>
      </c>
      <c r="P465" s="146">
        <v>1.9900743804199784E-13</v>
      </c>
      <c r="Q465" s="118" t="s">
        <v>1166</v>
      </c>
      <c r="R465" s="1"/>
      <c r="S465" s="1" t="s">
        <v>1049</v>
      </c>
      <c r="T465" s="1"/>
      <c r="U465" s="24" t="s">
        <v>703</v>
      </c>
      <c r="V465" s="116" t="b">
        <f>OR(B465=$V$1,D465=$V$1,B465="2"&amp;$V$1)</f>
        <v>0</v>
      </c>
      <c r="W465" s="1" t="b">
        <f>OR(J465=$W$1,L465=$W$1,N465=$W$1,J465="2"&amp;$W$1,L465="2"&amp;$W$1,N465="2"&amp;$W$1)</f>
        <v>0</v>
      </c>
      <c r="Y465" s="25" t="str">
        <f>B465&amp;" + "&amp;D465&amp;IF(F465&lt;&gt;""," + "&amp;F465,"")&amp;"-&gt;"&amp;J465&amp;" + "&amp;L465&amp;IF(N465&lt;&gt;""," + "&amp;N465,"")</f>
        <v>OH+ + N2O--&gt;N2O + OH</v>
      </c>
      <c r="Z465" s="29">
        <f>O465</f>
        <v>1.9900743804199784E-13</v>
      </c>
    </row>
    <row r="466" spans="1:26" ht="22.5" hidden="1" customHeight="1" x14ac:dyDescent="0.25">
      <c r="A466" s="1" t="s">
        <v>473</v>
      </c>
      <c r="B466" s="1" t="s">
        <v>652</v>
      </c>
      <c r="C466" s="2" t="s">
        <v>0</v>
      </c>
      <c r="D466" s="1" t="s">
        <v>1324</v>
      </c>
      <c r="E466" s="2"/>
      <c r="F466" s="22"/>
      <c r="G466" s="4" t="s">
        <v>7</v>
      </c>
      <c r="H466" s="112" t="s">
        <v>1558</v>
      </c>
      <c r="I466" s="4" t="s">
        <v>7</v>
      </c>
      <c r="J466" s="119" t="s">
        <v>1259</v>
      </c>
      <c r="K466" s="2" t="s">
        <v>0</v>
      </c>
      <c r="L466" s="22" t="s">
        <v>639</v>
      </c>
      <c r="M466" s="2" t="s">
        <v>0</v>
      </c>
      <c r="N466" s="125" t="s">
        <v>653</v>
      </c>
      <c r="O466" s="126">
        <f>1*10^-13</f>
        <v>1E-13</v>
      </c>
      <c r="P466" s="146">
        <v>1E-13</v>
      </c>
      <c r="Q466" s="118" t="s">
        <v>1167</v>
      </c>
      <c r="R466" s="1"/>
      <c r="S466" s="1" t="s">
        <v>1049</v>
      </c>
      <c r="T466" s="1"/>
      <c r="U466" s="24" t="s">
        <v>703</v>
      </c>
      <c r="V466" s="116" t="b">
        <f>OR(B466=$V$1,D466=$V$1,B466="2"&amp;$V$1)</f>
        <v>0</v>
      </c>
      <c r="W466" s="1" t="b">
        <f>OR(J466=$W$1,L466=$W$1,N466=$W$1,J466="2"&amp;$W$1,L466="2"&amp;$W$1,N466="2"&amp;$W$1)</f>
        <v>0</v>
      </c>
      <c r="Y466" s="25" t="str">
        <f>B466&amp;" + "&amp;D466&amp;IF(F466&lt;&gt;""," + "&amp;F466,"")&amp;"-&gt;"&amp;J466&amp;" + "&amp;L466&amp;IF(N466&lt;&gt;""," + "&amp;N466,"")</f>
        <v>OH+ + N2O--&gt;N2O + O + H</v>
      </c>
      <c r="Z466" s="29">
        <f>O466</f>
        <v>1E-13</v>
      </c>
    </row>
    <row r="467" spans="1:26" ht="22.5" hidden="1" customHeight="1" x14ac:dyDescent="0.25">
      <c r="A467" s="1" t="s">
        <v>474</v>
      </c>
      <c r="B467" s="1" t="s">
        <v>652</v>
      </c>
      <c r="C467" s="2" t="s">
        <v>0</v>
      </c>
      <c r="D467" s="1" t="s">
        <v>1325</v>
      </c>
      <c r="E467" s="2"/>
      <c r="F467" s="22"/>
      <c r="G467" s="4" t="s">
        <v>7</v>
      </c>
      <c r="H467" s="112" t="s">
        <v>1558</v>
      </c>
      <c r="I467" s="4" t="s">
        <v>7</v>
      </c>
      <c r="J467" s="119" t="s">
        <v>688</v>
      </c>
      <c r="K467" s="2" t="s">
        <v>0</v>
      </c>
      <c r="L467" s="22" t="s">
        <v>654</v>
      </c>
      <c r="M467" s="2"/>
      <c r="N467" s="125"/>
      <c r="O467" s="126">
        <f>2*10^-13*(300/Tg)^0.5</f>
        <v>1.9900743804199784E-13</v>
      </c>
      <c r="P467" s="146">
        <v>1.9900743804199784E-13</v>
      </c>
      <c r="Q467" s="118" t="s">
        <v>1166</v>
      </c>
      <c r="R467" s="1"/>
      <c r="S467" s="1" t="s">
        <v>1049</v>
      </c>
      <c r="T467" s="1"/>
      <c r="U467" s="24" t="s">
        <v>703</v>
      </c>
      <c r="V467" s="116" t="b">
        <f>OR(B467=$V$1,D467=$V$1,B467="2"&amp;$V$1)</f>
        <v>0</v>
      </c>
      <c r="W467" s="1" t="b">
        <f>OR(J467=$W$1,L467=$W$1,N467=$W$1,J467="2"&amp;$W$1,L467="2"&amp;$W$1,N467="2"&amp;$W$1)</f>
        <v>0</v>
      </c>
      <c r="Y467" s="25" t="str">
        <f>B467&amp;" + "&amp;D467&amp;IF(F467&lt;&gt;""," + "&amp;F467,"")&amp;"-&gt;"&amp;J467&amp;" + "&amp;L467&amp;IF(N467&lt;&gt;""," + "&amp;N467,"")</f>
        <v>OH+ + NO--&gt;NO + OH</v>
      </c>
      <c r="Z467" s="29">
        <f>O467</f>
        <v>1.9900743804199784E-13</v>
      </c>
    </row>
    <row r="468" spans="1:26" ht="22.5" hidden="1" customHeight="1" x14ac:dyDescent="0.25">
      <c r="A468" s="1" t="s">
        <v>475</v>
      </c>
      <c r="B468" s="1" t="s">
        <v>652</v>
      </c>
      <c r="C468" s="2" t="s">
        <v>0</v>
      </c>
      <c r="D468" s="1" t="s">
        <v>1325</v>
      </c>
      <c r="E468" s="2"/>
      <c r="F468" s="22"/>
      <c r="G468" s="4" t="s">
        <v>7</v>
      </c>
      <c r="H468" s="112" t="s">
        <v>1558</v>
      </c>
      <c r="I468" s="4" t="s">
        <v>7</v>
      </c>
      <c r="J468" s="119" t="s">
        <v>688</v>
      </c>
      <c r="K468" s="2" t="s">
        <v>0</v>
      </c>
      <c r="L468" s="22" t="s">
        <v>639</v>
      </c>
      <c r="M468" s="2" t="s">
        <v>0</v>
      </c>
      <c r="N468" s="125" t="s">
        <v>653</v>
      </c>
      <c r="O468" s="126">
        <f>1*10^-13</f>
        <v>1E-13</v>
      </c>
      <c r="P468" s="146">
        <v>1E-13</v>
      </c>
      <c r="Q468" s="118" t="s">
        <v>1167</v>
      </c>
      <c r="R468" s="1"/>
      <c r="S468" s="1" t="s">
        <v>1049</v>
      </c>
      <c r="T468" s="1"/>
      <c r="U468" s="24" t="s">
        <v>703</v>
      </c>
      <c r="V468" s="116" t="b">
        <f>OR(B468=$V$1,D468=$V$1,B468="2"&amp;$V$1)</f>
        <v>0</v>
      </c>
      <c r="W468" s="1" t="b">
        <f>OR(J468=$W$1,L468=$W$1,N468=$W$1,J468="2"&amp;$W$1,L468="2"&amp;$W$1,N468="2"&amp;$W$1)</f>
        <v>0</v>
      </c>
      <c r="Y468" s="25" t="str">
        <f>B468&amp;" + "&amp;D468&amp;IF(F468&lt;&gt;""," + "&amp;F468,"")&amp;"-&gt;"&amp;J468&amp;" + "&amp;L468&amp;IF(N468&lt;&gt;""," + "&amp;N468,"")</f>
        <v>OH+ + NO--&gt;NO + O + H</v>
      </c>
      <c r="Z468" s="29">
        <f>O468</f>
        <v>1E-13</v>
      </c>
    </row>
    <row r="469" spans="1:26" ht="22.5" hidden="1" customHeight="1" x14ac:dyDescent="0.25">
      <c r="A469" s="1" t="s">
        <v>476</v>
      </c>
      <c r="B469" s="1" t="s">
        <v>652</v>
      </c>
      <c r="C469" s="2" t="s">
        <v>0</v>
      </c>
      <c r="D469" s="1" t="s">
        <v>1326</v>
      </c>
      <c r="E469" s="2"/>
      <c r="F469" s="22"/>
      <c r="G469" s="4" t="s">
        <v>7</v>
      </c>
      <c r="H469" s="112" t="s">
        <v>1558</v>
      </c>
      <c r="I469" s="4" t="s">
        <v>7</v>
      </c>
      <c r="J469" s="119" t="s">
        <v>1261</v>
      </c>
      <c r="K469" s="2" t="s">
        <v>0</v>
      </c>
      <c r="L469" s="22" t="s">
        <v>654</v>
      </c>
      <c r="M469" s="2"/>
      <c r="N469" s="125"/>
      <c r="O469" s="126">
        <f>2*10^-13*(300/Tg)^0.5</f>
        <v>1.9900743804199784E-13</v>
      </c>
      <c r="P469" s="146">
        <v>1.9900743804199784E-13</v>
      </c>
      <c r="Q469" s="118" t="s">
        <v>1166</v>
      </c>
      <c r="R469" s="1"/>
      <c r="S469" s="1" t="s">
        <v>1049</v>
      </c>
      <c r="T469" s="1"/>
      <c r="U469" s="24" t="s">
        <v>703</v>
      </c>
      <c r="V469" s="116" t="b">
        <f>OR(B469=$V$1,D469=$V$1,B469="2"&amp;$V$1)</f>
        <v>0</v>
      </c>
      <c r="W469" s="1" t="b">
        <f>OR(J469=$W$1,L469=$W$1,N469=$W$1,J469="2"&amp;$W$1,L469="2"&amp;$W$1,N469="2"&amp;$W$1)</f>
        <v>1</v>
      </c>
      <c r="Y469" s="25" t="str">
        <f>B469&amp;" + "&amp;D469&amp;IF(F469&lt;&gt;""," + "&amp;F469,"")&amp;"-&gt;"&amp;J469&amp;" + "&amp;L469&amp;IF(N469&lt;&gt;""," + "&amp;N469,"")</f>
        <v>OH+ + NO2--&gt;NO2 + OH</v>
      </c>
      <c r="Z469" s="29">
        <f>O469</f>
        <v>1.9900743804199784E-13</v>
      </c>
    </row>
    <row r="470" spans="1:26" ht="22.5" hidden="1" customHeight="1" x14ac:dyDescent="0.25">
      <c r="A470" s="1" t="s">
        <v>477</v>
      </c>
      <c r="B470" s="1" t="s">
        <v>652</v>
      </c>
      <c r="C470" s="2" t="s">
        <v>0</v>
      </c>
      <c r="D470" s="1" t="s">
        <v>1326</v>
      </c>
      <c r="E470" s="2"/>
      <c r="F470" s="22"/>
      <c r="G470" s="4" t="s">
        <v>7</v>
      </c>
      <c r="H470" s="112" t="s">
        <v>1558</v>
      </c>
      <c r="I470" s="4" t="s">
        <v>7</v>
      </c>
      <c r="J470" s="119" t="s">
        <v>1261</v>
      </c>
      <c r="K470" s="2" t="s">
        <v>0</v>
      </c>
      <c r="L470" s="22" t="s">
        <v>639</v>
      </c>
      <c r="M470" s="2" t="s">
        <v>0</v>
      </c>
      <c r="N470" s="125" t="s">
        <v>653</v>
      </c>
      <c r="O470" s="126">
        <f>1*10^-13</f>
        <v>1E-13</v>
      </c>
      <c r="P470" s="146">
        <v>1E-13</v>
      </c>
      <c r="Q470" s="118" t="s">
        <v>1167</v>
      </c>
      <c r="R470" s="1"/>
      <c r="S470" s="1" t="s">
        <v>1049</v>
      </c>
      <c r="T470" s="1"/>
      <c r="U470" s="24" t="s">
        <v>703</v>
      </c>
      <c r="V470" s="116" t="b">
        <f>OR(B470=$V$1,D470=$V$1,B470="2"&amp;$V$1)</f>
        <v>0</v>
      </c>
      <c r="W470" s="1" t="b">
        <f>OR(J470=$W$1,L470=$W$1,N470=$W$1,J470="2"&amp;$W$1,L470="2"&amp;$W$1,N470="2"&amp;$W$1)</f>
        <v>1</v>
      </c>
      <c r="Y470" s="25" t="str">
        <f>B470&amp;" + "&amp;D470&amp;IF(F470&lt;&gt;""," + "&amp;F470,"")&amp;"-&gt;"&amp;J470&amp;" + "&amp;L470&amp;IF(N470&lt;&gt;""," + "&amp;N470,"")</f>
        <v>OH+ + NO2--&gt;NO2 + O + H</v>
      </c>
      <c r="Z470" s="29">
        <f>O470</f>
        <v>1E-13</v>
      </c>
    </row>
    <row r="471" spans="1:26" ht="22.5" hidden="1" customHeight="1" x14ac:dyDescent="0.25">
      <c r="A471" s="1" t="s">
        <v>478</v>
      </c>
      <c r="B471" s="1" t="s">
        <v>652</v>
      </c>
      <c r="C471" s="2" t="s">
        <v>0</v>
      </c>
      <c r="D471" s="1" t="s">
        <v>1327</v>
      </c>
      <c r="E471" s="2"/>
      <c r="F471" s="22"/>
      <c r="G471" s="4" t="s">
        <v>7</v>
      </c>
      <c r="H471" s="112" t="s">
        <v>1558</v>
      </c>
      <c r="I471" s="4" t="s">
        <v>7</v>
      </c>
      <c r="J471" s="119" t="s">
        <v>1263</v>
      </c>
      <c r="K471" s="2" t="s">
        <v>0</v>
      </c>
      <c r="L471" s="22" t="s">
        <v>654</v>
      </c>
      <c r="M471" s="2"/>
      <c r="N471" s="125"/>
      <c r="O471" s="126">
        <f>2*10^-13*(300/Tg)^0.5</f>
        <v>1.9900743804199784E-13</v>
      </c>
      <c r="P471" s="146">
        <v>1.9900743804199784E-13</v>
      </c>
      <c r="Q471" s="118" t="s">
        <v>1166</v>
      </c>
      <c r="R471" s="1"/>
      <c r="S471" s="1" t="s">
        <v>1049</v>
      </c>
      <c r="T471" s="1"/>
      <c r="U471" s="24" t="s">
        <v>703</v>
      </c>
      <c r="V471" s="116" t="b">
        <f>OR(B471=$V$1,D471=$V$1,B471="2"&amp;$V$1)</f>
        <v>0</v>
      </c>
      <c r="W471" s="1" t="b">
        <f>OR(J471=$W$1,L471=$W$1,N471=$W$1,J471="2"&amp;$W$1,L471="2"&amp;$W$1,N471="2"&amp;$W$1)</f>
        <v>0</v>
      </c>
      <c r="Y471" s="25" t="str">
        <f>B471&amp;" + "&amp;D471&amp;IF(F471&lt;&gt;""," + "&amp;F471,"")&amp;"-&gt;"&amp;J471&amp;" + "&amp;L471&amp;IF(N471&lt;&gt;""," + "&amp;N471,"")</f>
        <v>OH+ + NO3--&gt;NO3 + OH</v>
      </c>
      <c r="Z471" s="29">
        <f>O471</f>
        <v>1.9900743804199784E-13</v>
      </c>
    </row>
    <row r="472" spans="1:26" ht="22.5" hidden="1" customHeight="1" x14ac:dyDescent="0.25">
      <c r="A472" s="1" t="s">
        <v>479</v>
      </c>
      <c r="B472" s="1" t="s">
        <v>652</v>
      </c>
      <c r="C472" s="2" t="s">
        <v>0</v>
      </c>
      <c r="D472" s="1" t="s">
        <v>1327</v>
      </c>
      <c r="E472" s="2"/>
      <c r="F472" s="22"/>
      <c r="G472" s="4" t="s">
        <v>7</v>
      </c>
      <c r="H472" s="112" t="s">
        <v>1558</v>
      </c>
      <c r="I472" s="4" t="s">
        <v>7</v>
      </c>
      <c r="J472" s="119" t="s">
        <v>1263</v>
      </c>
      <c r="K472" s="2" t="s">
        <v>0</v>
      </c>
      <c r="L472" s="22" t="s">
        <v>639</v>
      </c>
      <c r="M472" s="2" t="s">
        <v>0</v>
      </c>
      <c r="N472" s="125" t="s">
        <v>653</v>
      </c>
      <c r="O472" s="126">
        <f>1*10^-13</f>
        <v>1E-13</v>
      </c>
      <c r="P472" s="146">
        <v>1E-13</v>
      </c>
      <c r="Q472" s="118" t="s">
        <v>1167</v>
      </c>
      <c r="R472" s="1"/>
      <c r="S472" s="1" t="s">
        <v>1049</v>
      </c>
      <c r="T472" s="1"/>
      <c r="U472" s="24" t="s">
        <v>703</v>
      </c>
      <c r="V472" s="116" t="b">
        <f>OR(B472=$V$1,D472=$V$1,B472="2"&amp;$V$1)</f>
        <v>0</v>
      </c>
      <c r="W472" s="1" t="b">
        <f>OR(J472=$W$1,L472=$W$1,N472=$W$1,J472="2"&amp;$W$1,L472="2"&amp;$W$1,N472="2"&amp;$W$1)</f>
        <v>0</v>
      </c>
      <c r="Y472" s="25" t="str">
        <f>B472&amp;" + "&amp;D472&amp;IF(F472&lt;&gt;""," + "&amp;F472,"")&amp;"-&gt;"&amp;J472&amp;" + "&amp;L472&amp;IF(N472&lt;&gt;""," + "&amp;N472,"")</f>
        <v>OH+ + NO3--&gt;NO3 + O + H</v>
      </c>
      <c r="Z472" s="29">
        <f>O472</f>
        <v>1E-13</v>
      </c>
    </row>
    <row r="473" spans="1:26" ht="22.5" hidden="1" customHeight="1" x14ac:dyDescent="0.25">
      <c r="A473" s="1" t="s">
        <v>480</v>
      </c>
      <c r="B473" s="1" t="s">
        <v>652</v>
      </c>
      <c r="C473" s="2" t="s">
        <v>0</v>
      </c>
      <c r="D473" s="1" t="s">
        <v>1328</v>
      </c>
      <c r="E473" s="2"/>
      <c r="F473" s="22"/>
      <c r="G473" s="4" t="s">
        <v>7</v>
      </c>
      <c r="H473" s="112" t="s">
        <v>1558</v>
      </c>
      <c r="I473" s="4" t="s">
        <v>7</v>
      </c>
      <c r="J473" s="119" t="s">
        <v>1411</v>
      </c>
      <c r="K473" s="2" t="s">
        <v>0</v>
      </c>
      <c r="L473" s="22" t="s">
        <v>653</v>
      </c>
      <c r="M473" s="2"/>
      <c r="N473" s="125"/>
      <c r="O473" s="126">
        <f>1*10^-13</f>
        <v>1E-13</v>
      </c>
      <c r="P473" s="146">
        <v>1E-13</v>
      </c>
      <c r="Q473" s="118" t="s">
        <v>1167</v>
      </c>
      <c r="R473" s="1"/>
      <c r="S473" s="1" t="s">
        <v>1049</v>
      </c>
      <c r="T473" s="1"/>
      <c r="U473" s="24" t="s">
        <v>703</v>
      </c>
      <c r="V473" s="116" t="b">
        <f>OR(B473=$V$1,D473=$V$1,B473="2"&amp;$V$1)</f>
        <v>0</v>
      </c>
      <c r="W473" s="1" t="b">
        <f>OR(J473=$W$1,L473=$W$1,N473=$W$1,J473="2"&amp;$W$1,L473="2"&amp;$W$1,N473="2"&amp;$W$1)</f>
        <v>0</v>
      </c>
      <c r="Y473" s="25" t="str">
        <f>B473&amp;" + "&amp;D473&amp;IF(F473&lt;&gt;""," + "&amp;F473,"")&amp;"-&gt;"&amp;J473&amp;" + "&amp;L473&amp;IF(N473&lt;&gt;""," + "&amp;N473,"")</f>
        <v>OH+ + O--&gt;2O + H</v>
      </c>
      <c r="Z473" s="29">
        <f>O473</f>
        <v>1E-13</v>
      </c>
    </row>
    <row r="474" spans="1:26" ht="22.5" hidden="1" customHeight="1" x14ac:dyDescent="0.25">
      <c r="A474" s="1" t="s">
        <v>481</v>
      </c>
      <c r="B474" s="1" t="s">
        <v>652</v>
      </c>
      <c r="C474" s="2" t="s">
        <v>0</v>
      </c>
      <c r="D474" s="1" t="s">
        <v>1328</v>
      </c>
      <c r="E474" s="2"/>
      <c r="F474" s="22"/>
      <c r="G474" s="4" t="s">
        <v>7</v>
      </c>
      <c r="H474" s="112" t="s">
        <v>1558</v>
      </c>
      <c r="I474" s="4" t="s">
        <v>7</v>
      </c>
      <c r="J474" s="119" t="s">
        <v>639</v>
      </c>
      <c r="K474" s="2" t="s">
        <v>0</v>
      </c>
      <c r="L474" s="22" t="s">
        <v>654</v>
      </c>
      <c r="M474" s="2"/>
      <c r="N474" s="125"/>
      <c r="O474" s="126">
        <f>2*10^-13*(300/Tg)^0.5</f>
        <v>1.9900743804199784E-13</v>
      </c>
      <c r="P474" s="146">
        <v>1.9900743804199784E-13</v>
      </c>
      <c r="Q474" s="118" t="s">
        <v>1166</v>
      </c>
      <c r="R474" s="1"/>
      <c r="S474" s="1" t="s">
        <v>1049</v>
      </c>
      <c r="T474" s="1"/>
      <c r="U474" s="24" t="s">
        <v>703</v>
      </c>
      <c r="V474" s="116" t="b">
        <f>OR(B474=$V$1,D474=$V$1,B474="2"&amp;$V$1)</f>
        <v>0</v>
      </c>
      <c r="W474" s="1" t="b">
        <f>OR(J474=$W$1,L474=$W$1,N474=$W$1,J474="2"&amp;$W$1,L474="2"&amp;$W$1,N474="2"&amp;$W$1)</f>
        <v>0</v>
      </c>
      <c r="Y474" s="25" t="str">
        <f>B474&amp;" + "&amp;D474&amp;IF(F474&lt;&gt;""," + "&amp;F474,"")&amp;"-&gt;"&amp;J474&amp;" + "&amp;L474&amp;IF(N474&lt;&gt;""," + "&amp;N474,"")</f>
        <v>OH+ + O--&gt;O + OH</v>
      </c>
      <c r="Z474" s="29">
        <f>O474</f>
        <v>1.9900743804199784E-13</v>
      </c>
    </row>
    <row r="475" spans="1:26" ht="22.5" hidden="1" customHeight="1" x14ac:dyDescent="0.25">
      <c r="A475" s="1" t="s">
        <v>482</v>
      </c>
      <c r="B475" s="1" t="s">
        <v>652</v>
      </c>
      <c r="C475" s="2" t="s">
        <v>0</v>
      </c>
      <c r="D475" s="1" t="s">
        <v>1329</v>
      </c>
      <c r="E475" s="2"/>
      <c r="F475" s="22"/>
      <c r="G475" s="4" t="s">
        <v>7</v>
      </c>
      <c r="H475" s="112" t="s">
        <v>1558</v>
      </c>
      <c r="I475" s="4" t="s">
        <v>7</v>
      </c>
      <c r="J475" s="119" t="s">
        <v>637</v>
      </c>
      <c r="K475" s="2" t="s">
        <v>0</v>
      </c>
      <c r="L475" s="22" t="s">
        <v>639</v>
      </c>
      <c r="M475" s="2" t="s">
        <v>0</v>
      </c>
      <c r="N475" s="125" t="s">
        <v>653</v>
      </c>
      <c r="O475" s="126">
        <f>1*10^-13</f>
        <v>1E-13</v>
      </c>
      <c r="P475" s="146">
        <v>1E-13</v>
      </c>
      <c r="Q475" s="118" t="s">
        <v>1167</v>
      </c>
      <c r="R475" s="1"/>
      <c r="S475" s="1" t="s">
        <v>1049</v>
      </c>
      <c r="T475" s="1"/>
      <c r="U475" s="24" t="s">
        <v>703</v>
      </c>
      <c r="V475" s="116" t="b">
        <f>OR(B475=$V$1,D475=$V$1,B475="2"&amp;$V$1)</f>
        <v>0</v>
      </c>
      <c r="W475" s="1" t="b">
        <f>OR(J475=$W$1,L475=$W$1,N475=$W$1,J475="2"&amp;$W$1,L475="2"&amp;$W$1,N475="2"&amp;$W$1)</f>
        <v>0</v>
      </c>
      <c r="Y475" s="25" t="str">
        <f>B475&amp;" + "&amp;D475&amp;IF(F475&lt;&gt;""," + "&amp;F475,"")&amp;"-&gt;"&amp;J475&amp;" + "&amp;L475&amp;IF(N475&lt;&gt;""," + "&amp;N475,"")</f>
        <v>OH+ + O2--&gt;O2 + O + H</v>
      </c>
      <c r="Z475" s="29">
        <f>O475</f>
        <v>1E-13</v>
      </c>
    </row>
    <row r="476" spans="1:26" ht="22.5" hidden="1" customHeight="1" x14ac:dyDescent="0.25">
      <c r="A476" s="1" t="s">
        <v>483</v>
      </c>
      <c r="B476" s="1" t="s">
        <v>652</v>
      </c>
      <c r="C476" s="2" t="s">
        <v>0</v>
      </c>
      <c r="D476" s="1" t="s">
        <v>1329</v>
      </c>
      <c r="E476" s="2"/>
      <c r="F476" s="22"/>
      <c r="G476" s="4" t="s">
        <v>7</v>
      </c>
      <c r="H476" s="112" t="s">
        <v>1558</v>
      </c>
      <c r="I476" s="4" t="s">
        <v>7</v>
      </c>
      <c r="J476" s="119" t="s">
        <v>637</v>
      </c>
      <c r="K476" s="2" t="s">
        <v>0</v>
      </c>
      <c r="L476" s="22" t="s">
        <v>654</v>
      </c>
      <c r="M476" s="2"/>
      <c r="N476" s="125"/>
      <c r="O476" s="126">
        <f>2*10^-13*(300/Tg)^0.5</f>
        <v>1.9900743804199784E-13</v>
      </c>
      <c r="P476" s="146">
        <v>1.9900743804199784E-13</v>
      </c>
      <c r="Q476" s="118" t="s">
        <v>1166</v>
      </c>
      <c r="R476" s="1"/>
      <c r="S476" s="1" t="s">
        <v>1049</v>
      </c>
      <c r="T476" s="1"/>
      <c r="U476" s="24" t="s">
        <v>703</v>
      </c>
      <c r="V476" s="116" t="b">
        <f>OR(B476=$V$1,D476=$V$1,B476="2"&amp;$V$1)</f>
        <v>0</v>
      </c>
      <c r="W476" s="1" t="b">
        <f>OR(J476=$W$1,L476=$W$1,N476=$W$1,J476="2"&amp;$W$1,L476="2"&amp;$W$1,N476="2"&amp;$W$1)</f>
        <v>0</v>
      </c>
      <c r="Y476" s="25" t="str">
        <f>B476&amp;" + "&amp;D476&amp;IF(F476&lt;&gt;""," + "&amp;F476,"")&amp;"-&gt;"&amp;J476&amp;" + "&amp;L476&amp;IF(N476&lt;&gt;""," + "&amp;N476,"")</f>
        <v>OH+ + O2--&gt;O2 + OH</v>
      </c>
      <c r="Z476" s="29">
        <f>O476</f>
        <v>1.9900743804199784E-13</v>
      </c>
    </row>
    <row r="477" spans="1:26" ht="22.5" hidden="1" customHeight="1" x14ac:dyDescent="0.25">
      <c r="A477" s="1" t="s">
        <v>484</v>
      </c>
      <c r="B477" s="1" t="s">
        <v>652</v>
      </c>
      <c r="C477" s="2" t="s">
        <v>0</v>
      </c>
      <c r="D477" s="1" t="s">
        <v>1330</v>
      </c>
      <c r="E477" s="2"/>
      <c r="F477" s="22"/>
      <c r="G477" s="4" t="s">
        <v>7</v>
      </c>
      <c r="H477" s="112" t="s">
        <v>1558</v>
      </c>
      <c r="I477" s="4" t="s">
        <v>7</v>
      </c>
      <c r="J477" s="119" t="s">
        <v>638</v>
      </c>
      <c r="K477" s="2" t="s">
        <v>0</v>
      </c>
      <c r="L477" s="22" t="s">
        <v>639</v>
      </c>
      <c r="M477" s="2" t="s">
        <v>0</v>
      </c>
      <c r="N477" s="125" t="s">
        <v>653</v>
      </c>
      <c r="O477" s="126">
        <f>1*10^-13</f>
        <v>1E-13</v>
      </c>
      <c r="P477" s="146">
        <v>1E-13</v>
      </c>
      <c r="Q477" s="118" t="s">
        <v>1167</v>
      </c>
      <c r="R477" s="1"/>
      <c r="S477" s="1" t="s">
        <v>1049</v>
      </c>
      <c r="T477" s="1"/>
      <c r="U477" s="24" t="s">
        <v>703</v>
      </c>
      <c r="V477" s="116" t="b">
        <f>OR(B477=$V$1,D477=$V$1,B477="2"&amp;$V$1)</f>
        <v>0</v>
      </c>
      <c r="W477" s="1" t="b">
        <f>OR(J477=$W$1,L477=$W$1,N477=$W$1,J477="2"&amp;$W$1,L477="2"&amp;$W$1,N477="2"&amp;$W$1)</f>
        <v>0</v>
      </c>
      <c r="Y477" s="25" t="str">
        <f>B477&amp;" + "&amp;D477&amp;IF(F477&lt;&gt;""," + "&amp;F477,"")&amp;"-&gt;"&amp;J477&amp;" + "&amp;L477&amp;IF(N477&lt;&gt;""," + "&amp;N477,"")</f>
        <v>OH+ + O3--&gt;O3 + O + H</v>
      </c>
      <c r="Z477" s="29">
        <f>O477</f>
        <v>1E-13</v>
      </c>
    </row>
    <row r="478" spans="1:26" ht="22.5" hidden="1" customHeight="1" x14ac:dyDescent="0.25">
      <c r="A478" s="1" t="s">
        <v>485</v>
      </c>
      <c r="B478" s="1" t="s">
        <v>652</v>
      </c>
      <c r="C478" s="2" t="s">
        <v>0</v>
      </c>
      <c r="D478" s="1" t="s">
        <v>1330</v>
      </c>
      <c r="E478" s="2"/>
      <c r="F478" s="22"/>
      <c r="G478" s="4" t="s">
        <v>7</v>
      </c>
      <c r="H478" s="112" t="s">
        <v>1558</v>
      </c>
      <c r="I478" s="4" t="s">
        <v>7</v>
      </c>
      <c r="J478" s="119" t="s">
        <v>638</v>
      </c>
      <c r="K478" s="2" t="s">
        <v>0</v>
      </c>
      <c r="L478" s="22" t="s">
        <v>654</v>
      </c>
      <c r="M478" s="2"/>
      <c r="N478" s="125"/>
      <c r="O478" s="126">
        <f>2*10^-13*(300/Tg)^0.5</f>
        <v>1.9900743804199784E-13</v>
      </c>
      <c r="P478" s="146">
        <v>1.9900743804199784E-13</v>
      </c>
      <c r="Q478" s="118" t="s">
        <v>1166</v>
      </c>
      <c r="R478" s="1"/>
      <c r="S478" s="1" t="s">
        <v>1049</v>
      </c>
      <c r="T478" s="1"/>
      <c r="U478" s="24" t="s">
        <v>703</v>
      </c>
      <c r="V478" s="116" t="b">
        <f>OR(B478=$V$1,D478=$V$1,B478="2"&amp;$V$1)</f>
        <v>0</v>
      </c>
      <c r="W478" s="1" t="b">
        <f>OR(J478=$W$1,L478=$W$1,N478=$W$1,J478="2"&amp;$W$1,L478="2"&amp;$W$1,N478="2"&amp;$W$1)</f>
        <v>0</v>
      </c>
      <c r="Y478" s="25" t="str">
        <f>B478&amp;" + "&amp;D478&amp;IF(F478&lt;&gt;""," + "&amp;F478,"")&amp;"-&gt;"&amp;J478&amp;" + "&amp;L478&amp;IF(N478&lt;&gt;""," + "&amp;N478,"")</f>
        <v>OH+ + O3--&gt;O3 + OH</v>
      </c>
      <c r="Z478" s="29">
        <f>O478</f>
        <v>1.9900743804199784E-13</v>
      </c>
    </row>
    <row r="479" spans="1:26" ht="22.5" hidden="1" customHeight="1" x14ac:dyDescent="0.25">
      <c r="A479" s="1" t="s">
        <v>486</v>
      </c>
      <c r="B479" s="1" t="s">
        <v>652</v>
      </c>
      <c r="C479" s="2" t="s">
        <v>0</v>
      </c>
      <c r="D479" s="1" t="s">
        <v>1331</v>
      </c>
      <c r="E479" s="2"/>
      <c r="F479" s="22"/>
      <c r="G479" s="4" t="s">
        <v>7</v>
      </c>
      <c r="H479" s="112" t="s">
        <v>1558</v>
      </c>
      <c r="I479" s="4" t="s">
        <v>7</v>
      </c>
      <c r="J479" s="119" t="s">
        <v>1409</v>
      </c>
      <c r="K479" s="2" t="s">
        <v>0</v>
      </c>
      <c r="L479" s="1" t="s">
        <v>654</v>
      </c>
      <c r="M479" s="2"/>
      <c r="N479" s="125"/>
      <c r="O479" s="126">
        <f>1*10^-13</f>
        <v>1E-13</v>
      </c>
      <c r="P479" s="146">
        <v>1E-13</v>
      </c>
      <c r="Q479" s="118" t="s">
        <v>1167</v>
      </c>
      <c r="R479" s="1"/>
      <c r="S479" s="1" t="s">
        <v>1049</v>
      </c>
      <c r="T479" s="1"/>
      <c r="U479" s="24" t="s">
        <v>703</v>
      </c>
      <c r="V479" s="116" t="b">
        <f>OR(B479=$V$1,D479=$V$1,B479="2"&amp;$V$1)</f>
        <v>0</v>
      </c>
      <c r="W479" s="1" t="b">
        <f>OR(J479=$W$1,L479=$W$1,N479=$W$1,J479="2"&amp;$W$1,L479="2"&amp;$W$1,N479="2"&amp;$W$1)</f>
        <v>0</v>
      </c>
      <c r="Y479" s="25" t="str">
        <f>B479&amp;" + "&amp;D479&amp;IF(F479&lt;&gt;""," + "&amp;F479,"")&amp;"-&gt;"&amp;J479&amp;" + "&amp;L479&amp;IF(N479&lt;&gt;""," + "&amp;N479,"")</f>
        <v>OH+ + O4--&gt;2O2 + OH</v>
      </c>
      <c r="Z479" s="29">
        <f>O479</f>
        <v>1E-13</v>
      </c>
    </row>
    <row r="480" spans="1:26" ht="22.5" hidden="1" customHeight="1" x14ac:dyDescent="0.25">
      <c r="A480" s="1" t="s">
        <v>487</v>
      </c>
      <c r="B480" s="1" t="s">
        <v>652</v>
      </c>
      <c r="C480" s="2" t="s">
        <v>0</v>
      </c>
      <c r="D480" s="1" t="s">
        <v>1323</v>
      </c>
      <c r="E480" s="2"/>
      <c r="F480" s="22"/>
      <c r="G480" s="4" t="s">
        <v>7</v>
      </c>
      <c r="H480" s="112" t="s">
        <v>1558</v>
      </c>
      <c r="I480" s="4" t="s">
        <v>7</v>
      </c>
      <c r="J480" s="119" t="s">
        <v>653</v>
      </c>
      <c r="K480" s="2" t="s">
        <v>0</v>
      </c>
      <c r="L480" s="22" t="s">
        <v>654</v>
      </c>
      <c r="M480" s="2"/>
      <c r="N480" s="125"/>
      <c r="O480" s="126">
        <f>2*10^-13*(300/Tg)^0.5</f>
        <v>1.9900743804199784E-13</v>
      </c>
      <c r="P480" s="146">
        <v>1.9900743804199784E-13</v>
      </c>
      <c r="Q480" s="118" t="s">
        <v>1166</v>
      </c>
      <c r="R480" s="1"/>
      <c r="S480" s="1" t="s">
        <v>1049</v>
      </c>
      <c r="T480" s="1"/>
      <c r="U480" s="24" t="s">
        <v>703</v>
      </c>
      <c r="V480" s="116" t="b">
        <f>OR(B480=$V$1,D480=$V$1,B480="2"&amp;$V$1)</f>
        <v>0</v>
      </c>
      <c r="W480" s="1" t="b">
        <f>OR(J480=$W$1,L480=$W$1,N480=$W$1,J480="2"&amp;$W$1,L480="2"&amp;$W$1,N480="2"&amp;$W$1)</f>
        <v>0</v>
      </c>
      <c r="Y480" s="25" t="str">
        <f>B480&amp;" + "&amp;D480&amp;IF(F480&lt;&gt;""," + "&amp;F480,"")&amp;"-&gt;"&amp;J480&amp;" + "&amp;L480&amp;IF(N480&lt;&gt;""," + "&amp;N480,"")</f>
        <v>OH+ + H--&gt;H + OH</v>
      </c>
      <c r="Z480" s="29">
        <f>O480</f>
        <v>1.9900743804199784E-13</v>
      </c>
    </row>
    <row r="481" spans="1:26" ht="22.5" hidden="1" customHeight="1" x14ac:dyDescent="0.25">
      <c r="A481" s="1" t="s">
        <v>488</v>
      </c>
      <c r="B481" s="1" t="s">
        <v>652</v>
      </c>
      <c r="C481" s="2" t="s">
        <v>0</v>
      </c>
      <c r="D481" s="1" t="s">
        <v>1323</v>
      </c>
      <c r="E481" s="2"/>
      <c r="F481" s="22"/>
      <c r="G481" s="4" t="s">
        <v>7</v>
      </c>
      <c r="H481" s="112" t="s">
        <v>1558</v>
      </c>
      <c r="I481" s="4" t="s">
        <v>7</v>
      </c>
      <c r="J481" s="119" t="s">
        <v>1415</v>
      </c>
      <c r="K481" s="2" t="s">
        <v>0</v>
      </c>
      <c r="L481" s="22" t="s">
        <v>639</v>
      </c>
      <c r="M481" s="2"/>
      <c r="N481" s="125"/>
      <c r="O481" s="126">
        <f>1*10^-13</f>
        <v>1E-13</v>
      </c>
      <c r="P481" s="146">
        <v>1E-13</v>
      </c>
      <c r="Q481" s="118" t="s">
        <v>1167</v>
      </c>
      <c r="R481" s="1"/>
      <c r="S481" s="1" t="s">
        <v>1049</v>
      </c>
      <c r="T481" s="1"/>
      <c r="U481" s="24" t="s">
        <v>703</v>
      </c>
      <c r="V481" s="116" t="b">
        <f>OR(B481=$V$1,D481=$V$1,B481="2"&amp;$V$1)</f>
        <v>0</v>
      </c>
      <c r="W481" s="1" t="b">
        <f>OR(J481=$W$1,L481=$W$1,N481=$W$1,J481="2"&amp;$W$1,L481="2"&amp;$W$1,N481="2"&amp;$W$1)</f>
        <v>0</v>
      </c>
      <c r="Y481" s="25" t="str">
        <f>B481&amp;" + "&amp;D481&amp;IF(F481&lt;&gt;""," + "&amp;F481,"")&amp;"-&gt;"&amp;J481&amp;" + "&amp;L481&amp;IF(N481&lt;&gt;""," + "&amp;N481,"")</f>
        <v>OH+ + H--&gt;2H + O</v>
      </c>
      <c r="Z481" s="29">
        <f>O481</f>
        <v>1E-13</v>
      </c>
    </row>
    <row r="482" spans="1:26" ht="22.5" hidden="1" customHeight="1" x14ac:dyDescent="0.25">
      <c r="A482" s="1" t="s">
        <v>489</v>
      </c>
      <c r="B482" s="1" t="s">
        <v>652</v>
      </c>
      <c r="C482" s="2" t="s">
        <v>0</v>
      </c>
      <c r="D482" s="1" t="s">
        <v>1332</v>
      </c>
      <c r="E482" s="2"/>
      <c r="F482" s="22"/>
      <c r="G482" s="4" t="s">
        <v>7</v>
      </c>
      <c r="H482" s="112" t="s">
        <v>1558</v>
      </c>
      <c r="I482" s="4" t="s">
        <v>7</v>
      </c>
      <c r="J482" s="119" t="s">
        <v>1423</v>
      </c>
      <c r="K482" s="2"/>
      <c r="L482" s="22"/>
      <c r="M482" s="2"/>
      <c r="N482" s="125"/>
      <c r="O482" s="126">
        <f>2*10^-13*(300/Tg)^0.5</f>
        <v>1.9900743804199784E-13</v>
      </c>
      <c r="P482" s="146">
        <v>1.9900743804199784E-13</v>
      </c>
      <c r="Q482" s="118" t="s">
        <v>1166</v>
      </c>
      <c r="R482" s="1"/>
      <c r="S482" s="1" t="s">
        <v>1049</v>
      </c>
      <c r="T482" s="1"/>
      <c r="U482" s="24" t="s">
        <v>703</v>
      </c>
      <c r="V482" s="116" t="b">
        <f>OR(B482=$V$1,D482=$V$1,B482="2"&amp;$V$1)</f>
        <v>0</v>
      </c>
      <c r="W482" s="1" t="b">
        <f>OR(J482=$W$1,L482=$W$1,N482=$W$1,J482="2"&amp;$W$1,L482="2"&amp;$W$1,N482="2"&amp;$W$1)</f>
        <v>0</v>
      </c>
      <c r="Y482" s="25" t="str">
        <f>B482&amp;" + "&amp;D482&amp;IF(F482&lt;&gt;""," + "&amp;F482,"")&amp;"-&gt;"&amp;J482&amp;" + "&amp;L482&amp;IF(N482&lt;&gt;""," + "&amp;N482,"")</f>
        <v xml:space="preserve">OH+ + OH--&gt;2OH + </v>
      </c>
      <c r="Z482" s="29">
        <f>O482</f>
        <v>1.9900743804199784E-13</v>
      </c>
    </row>
    <row r="483" spans="1:26" ht="22.5" hidden="1" customHeight="1" x14ac:dyDescent="0.25">
      <c r="A483" s="1" t="s">
        <v>490</v>
      </c>
      <c r="B483" s="1" t="s">
        <v>652</v>
      </c>
      <c r="C483" s="2" t="s">
        <v>0</v>
      </c>
      <c r="D483" s="1" t="s">
        <v>1332</v>
      </c>
      <c r="E483" s="2"/>
      <c r="F483" s="22"/>
      <c r="G483" s="4" t="s">
        <v>7</v>
      </c>
      <c r="H483" s="112" t="s">
        <v>1558</v>
      </c>
      <c r="I483" s="4" t="s">
        <v>7</v>
      </c>
      <c r="J483" s="119" t="s">
        <v>654</v>
      </c>
      <c r="K483" s="2" t="s">
        <v>0</v>
      </c>
      <c r="L483" s="22" t="s">
        <v>639</v>
      </c>
      <c r="M483" s="2" t="s">
        <v>0</v>
      </c>
      <c r="N483" s="125" t="s">
        <v>653</v>
      </c>
      <c r="O483" s="126">
        <f>1*10^-13</f>
        <v>1E-13</v>
      </c>
      <c r="P483" s="146">
        <v>1E-13</v>
      </c>
      <c r="Q483" s="118" t="s">
        <v>1167</v>
      </c>
      <c r="R483" s="1"/>
      <c r="S483" s="1" t="s">
        <v>1049</v>
      </c>
      <c r="T483" s="1"/>
      <c r="U483" s="24" t="s">
        <v>703</v>
      </c>
      <c r="V483" s="116" t="b">
        <f>OR(B483=$V$1,D483=$V$1,B483="2"&amp;$V$1)</f>
        <v>0</v>
      </c>
      <c r="W483" s="1" t="b">
        <f>OR(J483=$W$1,L483=$W$1,N483=$W$1,J483="2"&amp;$W$1,L483="2"&amp;$W$1,N483="2"&amp;$W$1)</f>
        <v>0</v>
      </c>
      <c r="Y483" s="25" t="str">
        <f>B483&amp;" + "&amp;D483&amp;IF(F483&lt;&gt;""," + "&amp;F483,"")&amp;"-&gt;"&amp;J483&amp;" + "&amp;L483&amp;IF(N483&lt;&gt;""," + "&amp;N483,"")</f>
        <v>OH+ + OH--&gt;OH + O + H</v>
      </c>
      <c r="Z483" s="29">
        <f>O483</f>
        <v>1E-13</v>
      </c>
    </row>
    <row r="484" spans="1:26" ht="22.5" hidden="1" customHeight="1" x14ac:dyDescent="0.25">
      <c r="A484" s="1" t="s">
        <v>491</v>
      </c>
      <c r="B484" s="1" t="s">
        <v>696</v>
      </c>
      <c r="C484" s="2" t="s">
        <v>0</v>
      </c>
      <c r="D484" s="1" t="s">
        <v>1324</v>
      </c>
      <c r="E484" s="2"/>
      <c r="F484" s="22"/>
      <c r="G484" s="4" t="s">
        <v>7</v>
      </c>
      <c r="H484" s="112" t="s">
        <v>1558</v>
      </c>
      <c r="I484" s="4" t="s">
        <v>7</v>
      </c>
      <c r="J484" s="119" t="s">
        <v>1259</v>
      </c>
      <c r="K484" s="2" t="s">
        <v>0</v>
      </c>
      <c r="L484" s="22" t="s">
        <v>812</v>
      </c>
      <c r="M484" s="2"/>
      <c r="N484" s="125"/>
      <c r="O484" s="126">
        <f>2*10^-13*(300/Tg)^0.5</f>
        <v>1.9900743804199784E-13</v>
      </c>
      <c r="P484" s="146">
        <v>1.9900743804199784E-13</v>
      </c>
      <c r="Q484" s="118" t="s">
        <v>1166</v>
      </c>
      <c r="R484" s="1"/>
      <c r="S484" s="1" t="s">
        <v>1049</v>
      </c>
      <c r="T484" s="1"/>
      <c r="U484" s="24" t="s">
        <v>703</v>
      </c>
      <c r="V484" s="116" t="b">
        <f>OR(B484=$V$1,D484=$V$1,B484="2"&amp;$V$1)</f>
        <v>0</v>
      </c>
      <c r="W484" s="1" t="b">
        <f>OR(J484=$W$1,L484=$W$1,N484=$W$1,J484="2"&amp;$W$1,L484="2"&amp;$W$1,N484="2"&amp;$W$1)</f>
        <v>0</v>
      </c>
      <c r="Y484" s="25" t="str">
        <f>B484&amp;" + "&amp;D484&amp;IF(F484&lt;&gt;""," + "&amp;F484,"")&amp;"-&gt;"&amp;J484&amp;" + "&amp;L484&amp;IF(N484&lt;&gt;""," + "&amp;N484,"")</f>
        <v>H2O+ + N2O--&gt;N2O + H2O</v>
      </c>
      <c r="Z484" s="29">
        <f>O484</f>
        <v>1.9900743804199784E-13</v>
      </c>
    </row>
    <row r="485" spans="1:26" ht="22.5" hidden="1" customHeight="1" x14ac:dyDescent="0.25">
      <c r="A485" s="1" t="s">
        <v>492</v>
      </c>
      <c r="B485" s="1" t="s">
        <v>696</v>
      </c>
      <c r="C485" s="2" t="s">
        <v>0</v>
      </c>
      <c r="D485" s="1" t="s">
        <v>1324</v>
      </c>
      <c r="E485" s="2"/>
      <c r="F485" s="22"/>
      <c r="G485" s="4" t="s">
        <v>7</v>
      </c>
      <c r="H485" s="112" t="s">
        <v>1558</v>
      </c>
      <c r="I485" s="4" t="s">
        <v>7</v>
      </c>
      <c r="J485" s="119" t="s">
        <v>1259</v>
      </c>
      <c r="K485" s="2" t="s">
        <v>0</v>
      </c>
      <c r="L485" s="22" t="s">
        <v>654</v>
      </c>
      <c r="M485" s="2" t="s">
        <v>0</v>
      </c>
      <c r="N485" s="125" t="s">
        <v>653</v>
      </c>
      <c r="O485" s="126">
        <f>1*10^-13</f>
        <v>1E-13</v>
      </c>
      <c r="P485" s="146">
        <v>1E-13</v>
      </c>
      <c r="Q485" s="118" t="s">
        <v>1167</v>
      </c>
      <c r="R485" s="1"/>
      <c r="S485" s="1" t="s">
        <v>1049</v>
      </c>
      <c r="T485" s="1"/>
      <c r="U485" s="24" t="s">
        <v>703</v>
      </c>
      <c r="V485" s="116" t="b">
        <f>OR(B485=$V$1,D485=$V$1,B485="2"&amp;$V$1)</f>
        <v>0</v>
      </c>
      <c r="W485" s="1" t="b">
        <f>OR(J485=$W$1,L485=$W$1,N485=$W$1,J485="2"&amp;$W$1,L485="2"&amp;$W$1,N485="2"&amp;$W$1)</f>
        <v>0</v>
      </c>
      <c r="Y485" s="25" t="str">
        <f>B485&amp;" + "&amp;D485&amp;IF(F485&lt;&gt;""," + "&amp;F485,"")&amp;"-&gt;"&amp;J485&amp;" + "&amp;L485&amp;IF(N485&lt;&gt;""," + "&amp;N485,"")</f>
        <v>H2O+ + N2O--&gt;N2O + OH + H</v>
      </c>
      <c r="Z485" s="29">
        <f>O485</f>
        <v>1E-13</v>
      </c>
    </row>
    <row r="486" spans="1:26" ht="22.5" hidden="1" customHeight="1" x14ac:dyDescent="0.25">
      <c r="A486" s="1" t="s">
        <v>493</v>
      </c>
      <c r="B486" s="1" t="s">
        <v>696</v>
      </c>
      <c r="C486" s="2" t="s">
        <v>0</v>
      </c>
      <c r="D486" s="1" t="s">
        <v>1325</v>
      </c>
      <c r="E486" s="2"/>
      <c r="F486" s="22"/>
      <c r="G486" s="4" t="s">
        <v>7</v>
      </c>
      <c r="H486" s="112" t="s">
        <v>1558</v>
      </c>
      <c r="I486" s="4" t="s">
        <v>7</v>
      </c>
      <c r="J486" s="119" t="s">
        <v>688</v>
      </c>
      <c r="K486" s="2" t="s">
        <v>0</v>
      </c>
      <c r="L486" s="22" t="s">
        <v>812</v>
      </c>
      <c r="M486" s="2"/>
      <c r="N486" s="125"/>
      <c r="O486" s="126">
        <f>2*10^-13*(300/Tg)^0.5</f>
        <v>1.9900743804199784E-13</v>
      </c>
      <c r="P486" s="146">
        <v>1.9900743804199784E-13</v>
      </c>
      <c r="Q486" s="118" t="s">
        <v>1166</v>
      </c>
      <c r="R486" s="1"/>
      <c r="S486" s="1" t="s">
        <v>1049</v>
      </c>
      <c r="T486" s="1"/>
      <c r="U486" s="24" t="s">
        <v>703</v>
      </c>
      <c r="V486" s="116" t="b">
        <f>OR(B486=$V$1,D486=$V$1,B486="2"&amp;$V$1)</f>
        <v>0</v>
      </c>
      <c r="W486" s="1" t="b">
        <f>OR(J486=$W$1,L486=$W$1,N486=$W$1,J486="2"&amp;$W$1,L486="2"&amp;$W$1,N486="2"&amp;$W$1)</f>
        <v>0</v>
      </c>
      <c r="Y486" s="25" t="str">
        <f>B486&amp;" + "&amp;D486&amp;IF(F486&lt;&gt;""," + "&amp;F486,"")&amp;"-&gt;"&amp;J486&amp;" + "&amp;L486&amp;IF(N486&lt;&gt;""," + "&amp;N486,"")</f>
        <v>H2O+ + NO--&gt;NO + H2O</v>
      </c>
      <c r="Z486" s="29">
        <f>O486</f>
        <v>1.9900743804199784E-13</v>
      </c>
    </row>
    <row r="487" spans="1:26" ht="22.5" hidden="1" customHeight="1" x14ac:dyDescent="0.25">
      <c r="A487" s="1" t="s">
        <v>494</v>
      </c>
      <c r="B487" s="1" t="s">
        <v>696</v>
      </c>
      <c r="C487" s="2" t="s">
        <v>0</v>
      </c>
      <c r="D487" s="1" t="s">
        <v>1325</v>
      </c>
      <c r="E487" s="2"/>
      <c r="F487" s="22"/>
      <c r="G487" s="4" t="s">
        <v>7</v>
      </c>
      <c r="H487" s="112" t="s">
        <v>1558</v>
      </c>
      <c r="I487" s="4" t="s">
        <v>7</v>
      </c>
      <c r="J487" s="119" t="s">
        <v>688</v>
      </c>
      <c r="K487" s="2" t="s">
        <v>0</v>
      </c>
      <c r="L487" s="22" t="s">
        <v>654</v>
      </c>
      <c r="M487" s="2" t="s">
        <v>0</v>
      </c>
      <c r="N487" s="125" t="s">
        <v>653</v>
      </c>
      <c r="O487" s="126">
        <f>1*10^-13</f>
        <v>1E-13</v>
      </c>
      <c r="P487" s="146">
        <v>1E-13</v>
      </c>
      <c r="Q487" s="118" t="s">
        <v>1167</v>
      </c>
      <c r="R487" s="1"/>
      <c r="S487" s="1" t="s">
        <v>1049</v>
      </c>
      <c r="T487" s="1"/>
      <c r="U487" s="24" t="s">
        <v>703</v>
      </c>
      <c r="V487" s="116" t="b">
        <f>OR(B487=$V$1,D487=$V$1,B487="2"&amp;$V$1)</f>
        <v>0</v>
      </c>
      <c r="W487" s="1" t="b">
        <f>OR(J487=$W$1,L487=$W$1,N487=$W$1,J487="2"&amp;$W$1,L487="2"&amp;$W$1,N487="2"&amp;$W$1)</f>
        <v>0</v>
      </c>
      <c r="Y487" s="25" t="str">
        <f>B487&amp;" + "&amp;D487&amp;IF(F487&lt;&gt;""," + "&amp;F487,"")&amp;"-&gt;"&amp;J487&amp;" + "&amp;L487&amp;IF(N487&lt;&gt;""," + "&amp;N487,"")</f>
        <v>H2O+ + NO--&gt;NO + OH + H</v>
      </c>
      <c r="Z487" s="29">
        <f>O487</f>
        <v>1E-13</v>
      </c>
    </row>
    <row r="488" spans="1:26" ht="22.5" hidden="1" customHeight="1" x14ac:dyDescent="0.25">
      <c r="A488" s="1" t="s">
        <v>495</v>
      </c>
      <c r="B488" s="1" t="s">
        <v>696</v>
      </c>
      <c r="C488" s="2" t="s">
        <v>0</v>
      </c>
      <c r="D488" s="1" t="s">
        <v>1326</v>
      </c>
      <c r="E488" s="2"/>
      <c r="F488" s="22"/>
      <c r="G488" s="4" t="s">
        <v>7</v>
      </c>
      <c r="H488" s="112" t="s">
        <v>1558</v>
      </c>
      <c r="I488" s="4" t="s">
        <v>7</v>
      </c>
      <c r="J488" s="119" t="s">
        <v>1261</v>
      </c>
      <c r="K488" s="2" t="s">
        <v>0</v>
      </c>
      <c r="L488" s="22" t="s">
        <v>812</v>
      </c>
      <c r="M488" s="2"/>
      <c r="N488" s="125"/>
      <c r="O488" s="126">
        <f>2*10^-13*(300/Tg)^0.5</f>
        <v>1.9900743804199784E-13</v>
      </c>
      <c r="P488" s="146">
        <v>1.9900743804199784E-13</v>
      </c>
      <c r="Q488" s="118" t="s">
        <v>1166</v>
      </c>
      <c r="R488" s="1"/>
      <c r="S488" s="1" t="s">
        <v>1049</v>
      </c>
      <c r="T488" s="1"/>
      <c r="U488" s="24" t="s">
        <v>703</v>
      </c>
      <c r="V488" s="116" t="b">
        <f>OR(B488=$V$1,D488=$V$1,B488="2"&amp;$V$1)</f>
        <v>0</v>
      </c>
      <c r="W488" s="1" t="b">
        <f>OR(J488=$W$1,L488=$W$1,N488=$W$1,J488="2"&amp;$W$1,L488="2"&amp;$W$1,N488="2"&amp;$W$1)</f>
        <v>1</v>
      </c>
      <c r="Y488" s="25" t="str">
        <f>B488&amp;" + "&amp;D488&amp;IF(F488&lt;&gt;""," + "&amp;F488,"")&amp;"-&gt;"&amp;J488&amp;" + "&amp;L488&amp;IF(N488&lt;&gt;""," + "&amp;N488,"")</f>
        <v>H2O+ + NO2--&gt;NO2 + H2O</v>
      </c>
      <c r="Z488" s="29">
        <f>O488</f>
        <v>1.9900743804199784E-13</v>
      </c>
    </row>
    <row r="489" spans="1:26" ht="22.5" hidden="1" customHeight="1" x14ac:dyDescent="0.25">
      <c r="A489" s="1" t="s">
        <v>496</v>
      </c>
      <c r="B489" s="1" t="s">
        <v>696</v>
      </c>
      <c r="C489" s="2" t="s">
        <v>0</v>
      </c>
      <c r="D489" s="1" t="s">
        <v>1326</v>
      </c>
      <c r="E489" s="2"/>
      <c r="F489" s="22"/>
      <c r="G489" s="4" t="s">
        <v>7</v>
      </c>
      <c r="H489" s="112" t="s">
        <v>1558</v>
      </c>
      <c r="I489" s="4" t="s">
        <v>7</v>
      </c>
      <c r="J489" s="119" t="s">
        <v>1261</v>
      </c>
      <c r="K489" s="2" t="s">
        <v>0</v>
      </c>
      <c r="L489" s="22" t="s">
        <v>654</v>
      </c>
      <c r="M489" s="2" t="s">
        <v>0</v>
      </c>
      <c r="N489" s="125" t="s">
        <v>653</v>
      </c>
      <c r="O489" s="126">
        <f>1*10^-13</f>
        <v>1E-13</v>
      </c>
      <c r="P489" s="146">
        <v>1E-13</v>
      </c>
      <c r="Q489" s="118" t="s">
        <v>1167</v>
      </c>
      <c r="R489" s="1"/>
      <c r="S489" s="1" t="s">
        <v>1049</v>
      </c>
      <c r="T489" s="1"/>
      <c r="U489" s="24" t="s">
        <v>703</v>
      </c>
      <c r="V489" s="116" t="b">
        <f>OR(B489=$V$1,D489=$V$1,B489="2"&amp;$V$1)</f>
        <v>0</v>
      </c>
      <c r="W489" s="1" t="b">
        <f>OR(J489=$W$1,L489=$W$1,N489=$W$1,J489="2"&amp;$W$1,L489="2"&amp;$W$1,N489="2"&amp;$W$1)</f>
        <v>1</v>
      </c>
      <c r="Y489" s="25" t="str">
        <f>B489&amp;" + "&amp;D489&amp;IF(F489&lt;&gt;""," + "&amp;F489,"")&amp;"-&gt;"&amp;J489&amp;" + "&amp;L489&amp;IF(N489&lt;&gt;""," + "&amp;N489,"")</f>
        <v>H2O+ + NO2--&gt;NO2 + OH + H</v>
      </c>
      <c r="Z489" s="29">
        <f>O489</f>
        <v>1E-13</v>
      </c>
    </row>
    <row r="490" spans="1:26" ht="22.5" hidden="1" customHeight="1" x14ac:dyDescent="0.25">
      <c r="A490" s="1" t="s">
        <v>497</v>
      </c>
      <c r="B490" s="1" t="s">
        <v>696</v>
      </c>
      <c r="C490" s="2" t="s">
        <v>0</v>
      </c>
      <c r="D490" s="1" t="s">
        <v>1327</v>
      </c>
      <c r="E490" s="2"/>
      <c r="F490" s="22"/>
      <c r="G490" s="4" t="s">
        <v>7</v>
      </c>
      <c r="H490" s="112" t="s">
        <v>1558</v>
      </c>
      <c r="I490" s="4" t="s">
        <v>7</v>
      </c>
      <c r="J490" s="119" t="s">
        <v>1263</v>
      </c>
      <c r="K490" s="2" t="s">
        <v>0</v>
      </c>
      <c r="L490" s="22" t="s">
        <v>812</v>
      </c>
      <c r="M490" s="2"/>
      <c r="N490" s="125"/>
      <c r="O490" s="126">
        <f>2*10^-13*(300/Tg)^0.5</f>
        <v>1.9900743804199784E-13</v>
      </c>
      <c r="P490" s="146">
        <v>1.9900743804199784E-13</v>
      </c>
      <c r="Q490" s="118" t="s">
        <v>1166</v>
      </c>
      <c r="R490" s="1"/>
      <c r="S490" s="1" t="s">
        <v>1049</v>
      </c>
      <c r="T490" s="1"/>
      <c r="U490" s="24" t="s">
        <v>703</v>
      </c>
      <c r="V490" s="116" t="b">
        <f>OR(B490=$V$1,D490=$V$1,B490="2"&amp;$V$1)</f>
        <v>0</v>
      </c>
      <c r="W490" s="1" t="b">
        <f>OR(J490=$W$1,L490=$W$1,N490=$W$1,J490="2"&amp;$W$1,L490="2"&amp;$W$1,N490="2"&amp;$W$1)</f>
        <v>0</v>
      </c>
      <c r="Y490" s="25" t="str">
        <f>B490&amp;" + "&amp;D490&amp;IF(F490&lt;&gt;""," + "&amp;F490,"")&amp;"-&gt;"&amp;J490&amp;" + "&amp;L490&amp;IF(N490&lt;&gt;""," + "&amp;N490,"")</f>
        <v>H2O+ + NO3--&gt;NO3 + H2O</v>
      </c>
      <c r="Z490" s="29">
        <f>O490</f>
        <v>1.9900743804199784E-13</v>
      </c>
    </row>
    <row r="491" spans="1:26" ht="22.5" hidden="1" customHeight="1" x14ac:dyDescent="0.25">
      <c r="A491" s="1" t="s">
        <v>498</v>
      </c>
      <c r="B491" s="1" t="s">
        <v>696</v>
      </c>
      <c r="C491" s="2" t="s">
        <v>0</v>
      </c>
      <c r="D491" s="1" t="s">
        <v>1327</v>
      </c>
      <c r="E491" s="2"/>
      <c r="F491" s="22"/>
      <c r="G491" s="4" t="s">
        <v>7</v>
      </c>
      <c r="H491" s="112" t="s">
        <v>1558</v>
      </c>
      <c r="I491" s="4" t="s">
        <v>7</v>
      </c>
      <c r="J491" s="119" t="s">
        <v>1263</v>
      </c>
      <c r="K491" s="2" t="s">
        <v>0</v>
      </c>
      <c r="L491" s="22" t="s">
        <v>654</v>
      </c>
      <c r="M491" s="2" t="s">
        <v>0</v>
      </c>
      <c r="N491" s="125" t="s">
        <v>653</v>
      </c>
      <c r="O491" s="126">
        <f>1*10^-13</f>
        <v>1E-13</v>
      </c>
      <c r="P491" s="146">
        <v>1E-13</v>
      </c>
      <c r="Q491" s="118" t="s">
        <v>1167</v>
      </c>
      <c r="R491" s="1"/>
      <c r="S491" s="1" t="s">
        <v>1049</v>
      </c>
      <c r="T491" s="1"/>
      <c r="U491" s="24" t="s">
        <v>703</v>
      </c>
      <c r="V491" s="116" t="b">
        <f>OR(B491=$V$1,D491=$V$1,B491="2"&amp;$V$1)</f>
        <v>0</v>
      </c>
      <c r="W491" s="1" t="b">
        <f>OR(J491=$W$1,L491=$W$1,N491=$W$1,J491="2"&amp;$W$1,L491="2"&amp;$W$1,N491="2"&amp;$W$1)</f>
        <v>0</v>
      </c>
      <c r="Y491" s="25" t="str">
        <f>B491&amp;" + "&amp;D491&amp;IF(F491&lt;&gt;""," + "&amp;F491,"")&amp;"-&gt;"&amp;J491&amp;" + "&amp;L491&amp;IF(N491&lt;&gt;""," + "&amp;N491,"")</f>
        <v>H2O+ + NO3--&gt;NO3 + OH + H</v>
      </c>
      <c r="Z491" s="29">
        <f>O491</f>
        <v>1E-13</v>
      </c>
    </row>
    <row r="492" spans="1:26" ht="22.5" hidden="1" customHeight="1" x14ac:dyDescent="0.25">
      <c r="A492" s="1" t="s">
        <v>499</v>
      </c>
      <c r="B492" s="1" t="s">
        <v>696</v>
      </c>
      <c r="C492" s="2" t="s">
        <v>0</v>
      </c>
      <c r="D492" s="1" t="s">
        <v>1328</v>
      </c>
      <c r="E492" s="2"/>
      <c r="F492" s="22"/>
      <c r="G492" s="4" t="s">
        <v>7</v>
      </c>
      <c r="H492" s="112" t="s">
        <v>1558</v>
      </c>
      <c r="I492" s="4" t="s">
        <v>7</v>
      </c>
      <c r="J492" s="119" t="s">
        <v>639</v>
      </c>
      <c r="K492" s="2" t="s">
        <v>0</v>
      </c>
      <c r="L492" s="22" t="s">
        <v>654</v>
      </c>
      <c r="M492" s="2" t="s">
        <v>0</v>
      </c>
      <c r="N492" s="125" t="s">
        <v>653</v>
      </c>
      <c r="O492" s="126">
        <f>1*10^-13</f>
        <v>1E-13</v>
      </c>
      <c r="P492" s="146">
        <v>1E-13</v>
      </c>
      <c r="Q492" s="118" t="s">
        <v>1167</v>
      </c>
      <c r="R492" s="1"/>
      <c r="S492" s="1" t="s">
        <v>1049</v>
      </c>
      <c r="T492" s="1"/>
      <c r="U492" s="24" t="s">
        <v>703</v>
      </c>
      <c r="V492" s="116" t="b">
        <f>OR(B492=$V$1,D492=$V$1,B492="2"&amp;$V$1)</f>
        <v>0</v>
      </c>
      <c r="W492" s="1" t="b">
        <f>OR(J492=$W$1,L492=$W$1,N492=$W$1,J492="2"&amp;$W$1,L492="2"&amp;$W$1,N492="2"&amp;$W$1)</f>
        <v>0</v>
      </c>
      <c r="Y492" s="25" t="str">
        <f>B492&amp;" + "&amp;D492&amp;IF(F492&lt;&gt;""," + "&amp;F492,"")&amp;"-&gt;"&amp;J492&amp;" + "&amp;L492&amp;IF(N492&lt;&gt;""," + "&amp;N492,"")</f>
        <v>H2O+ + O--&gt;O + OH + H</v>
      </c>
      <c r="Z492" s="29">
        <f>O492</f>
        <v>1E-13</v>
      </c>
    </row>
    <row r="493" spans="1:26" ht="22.5" hidden="1" customHeight="1" x14ac:dyDescent="0.25">
      <c r="A493" s="1" t="s">
        <v>500</v>
      </c>
      <c r="B493" s="1" t="s">
        <v>696</v>
      </c>
      <c r="C493" s="2" t="s">
        <v>0</v>
      </c>
      <c r="D493" s="1" t="s">
        <v>1328</v>
      </c>
      <c r="E493" s="2"/>
      <c r="F493" s="22"/>
      <c r="G493" s="4" t="s">
        <v>7</v>
      </c>
      <c r="H493" s="112" t="s">
        <v>1558</v>
      </c>
      <c r="I493" s="4" t="s">
        <v>7</v>
      </c>
      <c r="J493" s="119" t="s">
        <v>639</v>
      </c>
      <c r="K493" s="2" t="s">
        <v>0</v>
      </c>
      <c r="L493" s="22" t="s">
        <v>812</v>
      </c>
      <c r="M493" s="2"/>
      <c r="N493" s="125"/>
      <c r="O493" s="126">
        <f>2*10^-13*(300/Tg)^0.5</f>
        <v>1.9900743804199784E-13</v>
      </c>
      <c r="P493" s="146">
        <v>1.9900743804199784E-13</v>
      </c>
      <c r="Q493" s="118" t="s">
        <v>1166</v>
      </c>
      <c r="R493" s="1"/>
      <c r="S493" s="1" t="s">
        <v>1049</v>
      </c>
      <c r="T493" s="1"/>
      <c r="U493" s="24" t="s">
        <v>703</v>
      </c>
      <c r="V493" s="116" t="b">
        <f>OR(B493=$V$1,D493=$V$1,B493="2"&amp;$V$1)</f>
        <v>0</v>
      </c>
      <c r="W493" s="1" t="b">
        <f>OR(J493=$W$1,L493=$W$1,N493=$W$1,J493="2"&amp;$W$1,L493="2"&amp;$W$1,N493="2"&amp;$W$1)</f>
        <v>0</v>
      </c>
      <c r="Y493" s="25" t="str">
        <f>B493&amp;" + "&amp;D493&amp;IF(F493&lt;&gt;""," + "&amp;F493,"")&amp;"-&gt;"&amp;J493&amp;" + "&amp;L493&amp;IF(N493&lt;&gt;""," + "&amp;N493,"")</f>
        <v>H2O+ + O--&gt;O + H2O</v>
      </c>
      <c r="Z493" s="29">
        <f>O493</f>
        <v>1.9900743804199784E-13</v>
      </c>
    </row>
    <row r="494" spans="1:26" ht="22.5" hidden="1" customHeight="1" x14ac:dyDescent="0.25">
      <c r="A494" s="1" t="s">
        <v>501</v>
      </c>
      <c r="B494" s="1" t="s">
        <v>696</v>
      </c>
      <c r="C494" s="2" t="s">
        <v>0</v>
      </c>
      <c r="D494" s="1" t="s">
        <v>1329</v>
      </c>
      <c r="E494" s="2"/>
      <c r="F494" s="22"/>
      <c r="G494" s="4" t="s">
        <v>7</v>
      </c>
      <c r="H494" s="112" t="s">
        <v>1558</v>
      </c>
      <c r="I494" s="4" t="s">
        <v>7</v>
      </c>
      <c r="J494" s="119" t="s">
        <v>637</v>
      </c>
      <c r="K494" s="2" t="s">
        <v>0</v>
      </c>
      <c r="L494" s="22" t="s">
        <v>654</v>
      </c>
      <c r="M494" s="2" t="s">
        <v>0</v>
      </c>
      <c r="N494" s="125" t="s">
        <v>653</v>
      </c>
      <c r="O494" s="126">
        <f>1*10^-13</f>
        <v>1E-13</v>
      </c>
      <c r="P494" s="146">
        <v>1E-13</v>
      </c>
      <c r="Q494" s="118" t="s">
        <v>1167</v>
      </c>
      <c r="R494" s="1"/>
      <c r="S494" s="1" t="s">
        <v>1049</v>
      </c>
      <c r="T494" s="1"/>
      <c r="U494" s="24" t="s">
        <v>703</v>
      </c>
      <c r="V494" s="116" t="b">
        <f>OR(B494=$V$1,D494=$V$1,B494="2"&amp;$V$1)</f>
        <v>0</v>
      </c>
      <c r="W494" s="1" t="b">
        <f>OR(J494=$W$1,L494=$W$1,N494=$W$1,J494="2"&amp;$W$1,L494="2"&amp;$W$1,N494="2"&amp;$W$1)</f>
        <v>0</v>
      </c>
      <c r="Y494" s="25" t="str">
        <f>B494&amp;" + "&amp;D494&amp;IF(F494&lt;&gt;""," + "&amp;F494,"")&amp;"-&gt;"&amp;J494&amp;" + "&amp;L494&amp;IF(N494&lt;&gt;""," + "&amp;N494,"")</f>
        <v>H2O+ + O2--&gt;O2 + OH + H</v>
      </c>
      <c r="Z494" s="29">
        <f>O494</f>
        <v>1E-13</v>
      </c>
    </row>
    <row r="495" spans="1:26" ht="22.5" hidden="1" customHeight="1" x14ac:dyDescent="0.25">
      <c r="A495" s="1" t="s">
        <v>502</v>
      </c>
      <c r="B495" s="1" t="s">
        <v>696</v>
      </c>
      <c r="C495" s="2" t="s">
        <v>0</v>
      </c>
      <c r="D495" s="1" t="s">
        <v>1329</v>
      </c>
      <c r="E495" s="2"/>
      <c r="F495" s="22"/>
      <c r="G495" s="4" t="s">
        <v>7</v>
      </c>
      <c r="H495" s="112" t="s">
        <v>1558</v>
      </c>
      <c r="I495" s="4" t="s">
        <v>7</v>
      </c>
      <c r="J495" s="119" t="s">
        <v>637</v>
      </c>
      <c r="K495" s="2" t="s">
        <v>0</v>
      </c>
      <c r="L495" s="22" t="s">
        <v>812</v>
      </c>
      <c r="M495" s="2"/>
      <c r="N495" s="125"/>
      <c r="O495" s="126">
        <f>2*10^-13*(300/Tg)^0.5</f>
        <v>1.9900743804199784E-13</v>
      </c>
      <c r="P495" s="146">
        <v>1.9900743804199784E-13</v>
      </c>
      <c r="Q495" s="118" t="s">
        <v>1166</v>
      </c>
      <c r="R495" s="1"/>
      <c r="S495" s="1" t="s">
        <v>1049</v>
      </c>
      <c r="T495" s="1"/>
      <c r="U495" s="24" t="s">
        <v>703</v>
      </c>
      <c r="V495" s="116" t="b">
        <f>OR(B495=$V$1,D495=$V$1,B495="2"&amp;$V$1)</f>
        <v>0</v>
      </c>
      <c r="W495" s="1" t="b">
        <f>OR(J495=$W$1,L495=$W$1,N495=$W$1,J495="2"&amp;$W$1,L495="2"&amp;$W$1,N495="2"&amp;$W$1)</f>
        <v>0</v>
      </c>
      <c r="Y495" s="25" t="str">
        <f>B495&amp;" + "&amp;D495&amp;IF(F495&lt;&gt;""," + "&amp;F495,"")&amp;"-&gt;"&amp;J495&amp;" + "&amp;L495&amp;IF(N495&lt;&gt;""," + "&amp;N495,"")</f>
        <v>H2O+ + O2--&gt;O2 + H2O</v>
      </c>
      <c r="Z495" s="29">
        <f>O495</f>
        <v>1.9900743804199784E-13</v>
      </c>
    </row>
    <row r="496" spans="1:26" ht="22.5" hidden="1" customHeight="1" x14ac:dyDescent="0.25">
      <c r="A496" s="1" t="s">
        <v>503</v>
      </c>
      <c r="B496" s="1" t="s">
        <v>696</v>
      </c>
      <c r="C496" s="2" t="s">
        <v>0</v>
      </c>
      <c r="D496" s="1" t="s">
        <v>1330</v>
      </c>
      <c r="E496" s="2"/>
      <c r="F496" s="22"/>
      <c r="G496" s="4" t="s">
        <v>7</v>
      </c>
      <c r="H496" s="112" t="s">
        <v>1558</v>
      </c>
      <c r="I496" s="4" t="s">
        <v>7</v>
      </c>
      <c r="J496" s="119" t="s">
        <v>638</v>
      </c>
      <c r="K496" s="2" t="s">
        <v>0</v>
      </c>
      <c r="L496" s="22" t="s">
        <v>654</v>
      </c>
      <c r="M496" s="2" t="s">
        <v>0</v>
      </c>
      <c r="N496" s="125" t="s">
        <v>653</v>
      </c>
      <c r="O496" s="126">
        <f>1*10^-13</f>
        <v>1E-13</v>
      </c>
      <c r="P496" s="146">
        <v>1E-13</v>
      </c>
      <c r="Q496" s="118" t="s">
        <v>1167</v>
      </c>
      <c r="R496" s="1"/>
      <c r="S496" s="1" t="s">
        <v>1049</v>
      </c>
      <c r="T496" s="1"/>
      <c r="U496" s="24" t="s">
        <v>703</v>
      </c>
      <c r="V496" s="116" t="b">
        <f>OR(B496=$V$1,D496=$V$1,B496="2"&amp;$V$1)</f>
        <v>0</v>
      </c>
      <c r="W496" s="1" t="b">
        <f>OR(J496=$W$1,L496=$W$1,N496=$W$1,J496="2"&amp;$W$1,L496="2"&amp;$W$1,N496="2"&amp;$W$1)</f>
        <v>0</v>
      </c>
      <c r="Y496" s="25" t="str">
        <f>B496&amp;" + "&amp;D496&amp;IF(F496&lt;&gt;""," + "&amp;F496,"")&amp;"-&gt;"&amp;J496&amp;" + "&amp;L496&amp;IF(N496&lt;&gt;""," + "&amp;N496,"")</f>
        <v>H2O+ + O3--&gt;O3 + OH + H</v>
      </c>
      <c r="Z496" s="29">
        <f>O496</f>
        <v>1E-13</v>
      </c>
    </row>
    <row r="497" spans="1:26" ht="22.5" hidden="1" customHeight="1" x14ac:dyDescent="0.25">
      <c r="A497" s="1" t="s">
        <v>504</v>
      </c>
      <c r="B497" s="1" t="s">
        <v>696</v>
      </c>
      <c r="C497" s="2" t="s">
        <v>0</v>
      </c>
      <c r="D497" s="1" t="s">
        <v>1330</v>
      </c>
      <c r="E497" s="2"/>
      <c r="F497" s="22"/>
      <c r="G497" s="4" t="s">
        <v>7</v>
      </c>
      <c r="H497" s="112" t="s">
        <v>1558</v>
      </c>
      <c r="I497" s="4" t="s">
        <v>7</v>
      </c>
      <c r="J497" s="119" t="s">
        <v>638</v>
      </c>
      <c r="K497" s="2" t="s">
        <v>0</v>
      </c>
      <c r="L497" s="22" t="s">
        <v>812</v>
      </c>
      <c r="M497" s="2"/>
      <c r="N497" s="125"/>
      <c r="O497" s="126">
        <f>2*10^-13*(300/Tg)^0.5</f>
        <v>1.9900743804199784E-13</v>
      </c>
      <c r="P497" s="146">
        <v>1.9900743804199784E-13</v>
      </c>
      <c r="Q497" s="118" t="s">
        <v>1166</v>
      </c>
      <c r="R497" s="1"/>
      <c r="S497" s="1" t="s">
        <v>1049</v>
      </c>
      <c r="T497" s="1"/>
      <c r="U497" s="24" t="s">
        <v>703</v>
      </c>
      <c r="V497" s="116" t="b">
        <f>OR(B497=$V$1,D497=$V$1,B497="2"&amp;$V$1)</f>
        <v>0</v>
      </c>
      <c r="W497" s="1" t="b">
        <f>OR(J497=$W$1,L497=$W$1,N497=$W$1,J497="2"&amp;$W$1,L497="2"&amp;$W$1,N497="2"&amp;$W$1)</f>
        <v>0</v>
      </c>
      <c r="Y497" s="25" t="str">
        <f>B497&amp;" + "&amp;D497&amp;IF(F497&lt;&gt;""," + "&amp;F497,"")&amp;"-&gt;"&amp;J497&amp;" + "&amp;L497&amp;IF(N497&lt;&gt;""," + "&amp;N497,"")</f>
        <v>H2O+ + O3--&gt;O3 + H2O</v>
      </c>
      <c r="Z497" s="29">
        <f>O497</f>
        <v>1.9900743804199784E-13</v>
      </c>
    </row>
    <row r="498" spans="1:26" ht="22.5" hidden="1" customHeight="1" x14ac:dyDescent="0.25">
      <c r="A498" s="1" t="s">
        <v>505</v>
      </c>
      <c r="B498" s="1" t="s">
        <v>696</v>
      </c>
      <c r="C498" s="2" t="s">
        <v>0</v>
      </c>
      <c r="D498" s="1" t="s">
        <v>1331</v>
      </c>
      <c r="E498" s="2"/>
      <c r="F498" s="22"/>
      <c r="G498" s="4" t="s">
        <v>7</v>
      </c>
      <c r="H498" s="112" t="s">
        <v>1558</v>
      </c>
      <c r="I498" s="4" t="s">
        <v>7</v>
      </c>
      <c r="J498" s="119" t="s">
        <v>1409</v>
      </c>
      <c r="K498" s="2" t="s">
        <v>0</v>
      </c>
      <c r="L498" s="22" t="s">
        <v>812</v>
      </c>
      <c r="M498" s="2"/>
      <c r="N498" s="125"/>
      <c r="O498" s="126">
        <f>1*10^-13</f>
        <v>1E-13</v>
      </c>
      <c r="P498" s="146">
        <v>1E-13</v>
      </c>
      <c r="Q498" s="118" t="s">
        <v>1167</v>
      </c>
      <c r="R498" s="1"/>
      <c r="S498" s="1" t="s">
        <v>1049</v>
      </c>
      <c r="T498" s="1"/>
      <c r="U498" s="24" t="s">
        <v>703</v>
      </c>
      <c r="V498" s="116" t="b">
        <f>OR(B498=$V$1,D498=$V$1,B498="2"&amp;$V$1)</f>
        <v>0</v>
      </c>
      <c r="W498" s="1" t="b">
        <f>OR(J498=$W$1,L498=$W$1,N498=$W$1,J498="2"&amp;$W$1,L498="2"&amp;$W$1,N498="2"&amp;$W$1)</f>
        <v>0</v>
      </c>
      <c r="Y498" s="25" t="str">
        <f>B498&amp;" + "&amp;D498&amp;IF(F498&lt;&gt;""," + "&amp;F498,"")&amp;"-&gt;"&amp;J498&amp;" + "&amp;L498&amp;IF(N498&lt;&gt;""," + "&amp;N498,"")</f>
        <v>H2O+ + O4--&gt;2O2 + H2O</v>
      </c>
      <c r="Z498" s="29">
        <f>O498</f>
        <v>1E-13</v>
      </c>
    </row>
    <row r="499" spans="1:26" ht="22.5" hidden="1" customHeight="1" x14ac:dyDescent="0.25">
      <c r="A499" s="1" t="s">
        <v>506</v>
      </c>
      <c r="B499" s="1" t="s">
        <v>696</v>
      </c>
      <c r="C499" s="2" t="s">
        <v>0</v>
      </c>
      <c r="D499" s="1" t="s">
        <v>1323</v>
      </c>
      <c r="E499" s="2"/>
      <c r="F499" s="22"/>
      <c r="G499" s="4" t="s">
        <v>7</v>
      </c>
      <c r="H499" s="112" t="s">
        <v>1558</v>
      </c>
      <c r="I499" s="4" t="s">
        <v>7</v>
      </c>
      <c r="J499" s="119" t="s">
        <v>653</v>
      </c>
      <c r="K499" s="2" t="s">
        <v>0</v>
      </c>
      <c r="L499" s="22" t="s">
        <v>812</v>
      </c>
      <c r="M499" s="2"/>
      <c r="N499" s="125"/>
      <c r="O499" s="126">
        <f>2*10^-13*(300/Tg)^0.5</f>
        <v>1.9900743804199784E-13</v>
      </c>
      <c r="P499" s="146">
        <v>1.9900743804199784E-13</v>
      </c>
      <c r="Q499" s="118" t="s">
        <v>1166</v>
      </c>
      <c r="R499" s="1"/>
      <c r="S499" s="1" t="s">
        <v>1049</v>
      </c>
      <c r="T499" s="1"/>
      <c r="U499" s="24" t="s">
        <v>703</v>
      </c>
      <c r="V499" s="116" t="b">
        <f>OR(B499=$V$1,D499=$V$1,B499="2"&amp;$V$1)</f>
        <v>0</v>
      </c>
      <c r="W499" s="1" t="b">
        <f>OR(J499=$W$1,L499=$W$1,N499=$W$1,J499="2"&amp;$W$1,L499="2"&amp;$W$1,N499="2"&amp;$W$1)</f>
        <v>0</v>
      </c>
      <c r="Y499" s="25" t="str">
        <f>B499&amp;" + "&amp;D499&amp;IF(F499&lt;&gt;""," + "&amp;F499,"")&amp;"-&gt;"&amp;J499&amp;" + "&amp;L499&amp;IF(N499&lt;&gt;""," + "&amp;N499,"")</f>
        <v>H2O+ + H--&gt;H + H2O</v>
      </c>
      <c r="Z499" s="29">
        <f>O499</f>
        <v>1.9900743804199784E-13</v>
      </c>
    </row>
    <row r="500" spans="1:26" ht="22.5" hidden="1" customHeight="1" x14ac:dyDescent="0.25">
      <c r="A500" s="1" t="s">
        <v>507</v>
      </c>
      <c r="B500" s="1" t="s">
        <v>696</v>
      </c>
      <c r="C500" s="2" t="s">
        <v>0</v>
      </c>
      <c r="D500" s="1" t="s">
        <v>1323</v>
      </c>
      <c r="E500" s="2"/>
      <c r="F500" s="22"/>
      <c r="G500" s="4" t="s">
        <v>7</v>
      </c>
      <c r="H500" s="112" t="s">
        <v>1558</v>
      </c>
      <c r="I500" s="4" t="s">
        <v>7</v>
      </c>
      <c r="J500" s="119" t="s">
        <v>1415</v>
      </c>
      <c r="K500" s="2" t="s">
        <v>0</v>
      </c>
      <c r="L500" s="22" t="s">
        <v>654</v>
      </c>
      <c r="M500" s="2"/>
      <c r="N500" s="125"/>
      <c r="O500" s="126">
        <f>1*10^-13</f>
        <v>1E-13</v>
      </c>
      <c r="P500" s="146">
        <v>1E-13</v>
      </c>
      <c r="Q500" s="118" t="s">
        <v>1167</v>
      </c>
      <c r="R500" s="1"/>
      <c r="S500" s="1" t="s">
        <v>1049</v>
      </c>
      <c r="T500" s="1"/>
      <c r="U500" s="24" t="s">
        <v>703</v>
      </c>
      <c r="V500" s="116" t="b">
        <f>OR(B500=$V$1,D500=$V$1,B500="2"&amp;$V$1)</f>
        <v>0</v>
      </c>
      <c r="W500" s="1" t="b">
        <f>OR(J500=$W$1,L500=$W$1,N500=$W$1,J500="2"&amp;$W$1,L500="2"&amp;$W$1,N500="2"&amp;$W$1)</f>
        <v>0</v>
      </c>
      <c r="Y500" s="25" t="str">
        <f>B500&amp;" + "&amp;D500&amp;IF(F500&lt;&gt;""," + "&amp;F500,"")&amp;"-&gt;"&amp;J500&amp;" + "&amp;L500&amp;IF(N500&lt;&gt;""," + "&amp;N500,"")</f>
        <v>H2O+ + H--&gt;2H + OH</v>
      </c>
      <c r="Z500" s="29">
        <f>O500</f>
        <v>1E-13</v>
      </c>
    </row>
    <row r="501" spans="1:26" ht="22.5" hidden="1" customHeight="1" x14ac:dyDescent="0.25">
      <c r="A501" s="1" t="s">
        <v>508</v>
      </c>
      <c r="B501" s="1" t="s">
        <v>696</v>
      </c>
      <c r="C501" s="2" t="s">
        <v>0</v>
      </c>
      <c r="D501" s="1" t="s">
        <v>1332</v>
      </c>
      <c r="E501" s="2"/>
      <c r="F501" s="22"/>
      <c r="G501" s="4" t="s">
        <v>7</v>
      </c>
      <c r="H501" s="112" t="s">
        <v>1558</v>
      </c>
      <c r="I501" s="4" t="s">
        <v>7</v>
      </c>
      <c r="J501" s="119" t="s">
        <v>654</v>
      </c>
      <c r="K501" s="2" t="s">
        <v>0</v>
      </c>
      <c r="L501" s="22" t="s">
        <v>812</v>
      </c>
      <c r="M501" s="2"/>
      <c r="N501" s="125"/>
      <c r="O501" s="126">
        <f>2*10^-13*(300/Tg)^0.5</f>
        <v>1.9900743804199784E-13</v>
      </c>
      <c r="P501" s="146">
        <v>1.9900743804199784E-13</v>
      </c>
      <c r="Q501" s="118" t="s">
        <v>1166</v>
      </c>
      <c r="R501" s="1"/>
      <c r="S501" s="1" t="s">
        <v>1049</v>
      </c>
      <c r="T501" s="1"/>
      <c r="U501" s="24" t="s">
        <v>703</v>
      </c>
      <c r="V501" s="116" t="b">
        <f>OR(B501=$V$1,D501=$V$1,B501="2"&amp;$V$1)</f>
        <v>0</v>
      </c>
      <c r="W501" s="1" t="b">
        <f>OR(J501=$W$1,L501=$W$1,N501=$W$1,J501="2"&amp;$W$1,L501="2"&amp;$W$1,N501="2"&amp;$W$1)</f>
        <v>0</v>
      </c>
      <c r="Y501" s="25" t="str">
        <f>B501&amp;" + "&amp;D501&amp;IF(F501&lt;&gt;""," + "&amp;F501,"")&amp;"-&gt;"&amp;J501&amp;" + "&amp;L501&amp;IF(N501&lt;&gt;""," + "&amp;N501,"")</f>
        <v>H2O+ + OH--&gt;OH + H2O</v>
      </c>
      <c r="Z501" s="29">
        <f>O501</f>
        <v>1.9900743804199784E-13</v>
      </c>
    </row>
    <row r="502" spans="1:26" ht="22.5" hidden="1" customHeight="1" x14ac:dyDescent="0.25">
      <c r="A502" s="1" t="s">
        <v>509</v>
      </c>
      <c r="B502" s="1" t="s">
        <v>696</v>
      </c>
      <c r="C502" s="2" t="s">
        <v>0</v>
      </c>
      <c r="D502" s="1" t="s">
        <v>1332</v>
      </c>
      <c r="E502" s="2"/>
      <c r="F502" s="22"/>
      <c r="G502" s="4" t="s">
        <v>7</v>
      </c>
      <c r="H502" s="112" t="s">
        <v>1558</v>
      </c>
      <c r="I502" s="4" t="s">
        <v>7</v>
      </c>
      <c r="J502" s="119" t="s">
        <v>1423</v>
      </c>
      <c r="K502" s="2" t="s">
        <v>0</v>
      </c>
      <c r="L502" s="22" t="s">
        <v>653</v>
      </c>
      <c r="M502" s="2"/>
      <c r="N502" s="125"/>
      <c r="O502" s="126">
        <f>1*10^-13</f>
        <v>1E-13</v>
      </c>
      <c r="P502" s="146">
        <v>1E-13</v>
      </c>
      <c r="Q502" s="118" t="s">
        <v>1167</v>
      </c>
      <c r="R502" s="1"/>
      <c r="S502" s="1" t="s">
        <v>1049</v>
      </c>
      <c r="T502" s="1"/>
      <c r="U502" s="24" t="s">
        <v>703</v>
      </c>
      <c r="V502" s="116" t="b">
        <f>OR(B502=$V$1,D502=$V$1,B502="2"&amp;$V$1)</f>
        <v>0</v>
      </c>
      <c r="W502" s="1" t="b">
        <f>OR(J502=$W$1,L502=$W$1,N502=$W$1,J502="2"&amp;$W$1,L502="2"&amp;$W$1,N502="2"&amp;$W$1)</f>
        <v>0</v>
      </c>
      <c r="Y502" s="25" t="str">
        <f>B502&amp;" + "&amp;D502&amp;IF(F502&lt;&gt;""," + "&amp;F502,"")&amp;"-&gt;"&amp;J502&amp;" + "&amp;L502&amp;IF(N502&lt;&gt;""," + "&amp;N502,"")</f>
        <v>H2O+ + OH--&gt;2OH + H</v>
      </c>
      <c r="Z502" s="29">
        <f>O502</f>
        <v>1E-13</v>
      </c>
    </row>
    <row r="503" spans="1:26" ht="22.5" hidden="1" customHeight="1" x14ac:dyDescent="0.25">
      <c r="A503" s="1" t="s">
        <v>510</v>
      </c>
      <c r="B503" s="1" t="s">
        <v>697</v>
      </c>
      <c r="C503" s="2" t="s">
        <v>0</v>
      </c>
      <c r="D503" s="1" t="s">
        <v>1324</v>
      </c>
      <c r="E503" s="2"/>
      <c r="F503" s="22"/>
      <c r="G503" s="4" t="s">
        <v>7</v>
      </c>
      <c r="H503" s="112" t="s">
        <v>1558</v>
      </c>
      <c r="I503" s="4" t="s">
        <v>7</v>
      </c>
      <c r="J503" s="119" t="s">
        <v>1259</v>
      </c>
      <c r="K503" s="2" t="s">
        <v>0</v>
      </c>
      <c r="L503" s="22" t="s">
        <v>812</v>
      </c>
      <c r="M503" s="2" t="s">
        <v>0</v>
      </c>
      <c r="N503" s="125" t="s">
        <v>653</v>
      </c>
      <c r="O503" s="126">
        <f>1*10^-13</f>
        <v>1E-13</v>
      </c>
      <c r="P503" s="146">
        <v>1E-13</v>
      </c>
      <c r="Q503" s="118" t="s">
        <v>1167</v>
      </c>
      <c r="R503" s="1"/>
      <c r="S503" s="1" t="s">
        <v>1049</v>
      </c>
      <c r="T503" s="1"/>
      <c r="U503" s="24" t="s">
        <v>703</v>
      </c>
      <c r="V503" s="116" t="b">
        <f>OR(B503=$V$1,D503=$V$1,B503="2"&amp;$V$1)</f>
        <v>0</v>
      </c>
      <c r="W503" s="1" t="b">
        <f>OR(J503=$W$1,L503=$W$1,N503=$W$1,J503="2"&amp;$W$1,L503="2"&amp;$W$1,N503="2"&amp;$W$1)</f>
        <v>0</v>
      </c>
      <c r="Y503" s="25" t="str">
        <f>B503&amp;" + "&amp;D503&amp;IF(F503&lt;&gt;""," + "&amp;F503,"")&amp;"-&gt;"&amp;J503&amp;" + "&amp;L503&amp;IF(N503&lt;&gt;""," + "&amp;N503,"")</f>
        <v>H3O+ + N2O--&gt;N2O + H2O + H</v>
      </c>
      <c r="Z503" s="29">
        <f>O503</f>
        <v>1E-13</v>
      </c>
    </row>
    <row r="504" spans="1:26" ht="22.5" hidden="1" customHeight="1" x14ac:dyDescent="0.25">
      <c r="A504" s="1" t="s">
        <v>511</v>
      </c>
      <c r="B504" s="1" t="s">
        <v>697</v>
      </c>
      <c r="C504" s="2" t="s">
        <v>0</v>
      </c>
      <c r="D504" s="1" t="s">
        <v>1325</v>
      </c>
      <c r="E504" s="2"/>
      <c r="F504" s="22"/>
      <c r="G504" s="4" t="s">
        <v>7</v>
      </c>
      <c r="H504" s="112" t="s">
        <v>1558</v>
      </c>
      <c r="I504" s="4" t="s">
        <v>7</v>
      </c>
      <c r="J504" s="119" t="s">
        <v>688</v>
      </c>
      <c r="K504" s="2" t="s">
        <v>0</v>
      </c>
      <c r="L504" s="22" t="s">
        <v>812</v>
      </c>
      <c r="M504" s="2" t="s">
        <v>0</v>
      </c>
      <c r="N504" s="125" t="s">
        <v>653</v>
      </c>
      <c r="O504" s="126">
        <f>1*10^-13</f>
        <v>1E-13</v>
      </c>
      <c r="P504" s="146">
        <v>1E-13</v>
      </c>
      <c r="Q504" s="118" t="s">
        <v>1167</v>
      </c>
      <c r="R504" s="1"/>
      <c r="S504" s="1" t="s">
        <v>1049</v>
      </c>
      <c r="T504" s="1"/>
      <c r="U504" s="24" t="s">
        <v>703</v>
      </c>
      <c r="V504" s="116" t="b">
        <f>OR(B504=$V$1,D504=$V$1,B504="2"&amp;$V$1)</f>
        <v>0</v>
      </c>
      <c r="W504" s="1" t="b">
        <f>OR(J504=$W$1,L504=$W$1,N504=$W$1,J504="2"&amp;$W$1,L504="2"&amp;$W$1,N504="2"&amp;$W$1)</f>
        <v>0</v>
      </c>
      <c r="Y504" s="25" t="str">
        <f>B504&amp;" + "&amp;D504&amp;IF(F504&lt;&gt;""," + "&amp;F504,"")&amp;"-&gt;"&amp;J504&amp;" + "&amp;L504&amp;IF(N504&lt;&gt;""," + "&amp;N504,"")</f>
        <v>H3O+ + NO--&gt;NO + H2O + H</v>
      </c>
      <c r="Z504" s="29">
        <f>O504</f>
        <v>1E-13</v>
      </c>
    </row>
    <row r="505" spans="1:26" ht="22.5" hidden="1" customHeight="1" x14ac:dyDescent="0.25">
      <c r="A505" s="1" t="s">
        <v>512</v>
      </c>
      <c r="B505" s="1" t="s">
        <v>697</v>
      </c>
      <c r="C505" s="2" t="s">
        <v>0</v>
      </c>
      <c r="D505" s="1" t="s">
        <v>1326</v>
      </c>
      <c r="E505" s="2"/>
      <c r="F505" s="22"/>
      <c r="G505" s="4" t="s">
        <v>7</v>
      </c>
      <c r="H505" s="112" t="s">
        <v>1558</v>
      </c>
      <c r="I505" s="4" t="s">
        <v>7</v>
      </c>
      <c r="J505" s="119" t="s">
        <v>1261</v>
      </c>
      <c r="K505" s="2" t="s">
        <v>0</v>
      </c>
      <c r="L505" s="22" t="s">
        <v>812</v>
      </c>
      <c r="M505" s="2" t="s">
        <v>0</v>
      </c>
      <c r="N505" s="125" t="s">
        <v>653</v>
      </c>
      <c r="O505" s="126">
        <f>1*10^-13</f>
        <v>1E-13</v>
      </c>
      <c r="P505" s="146">
        <v>1E-13</v>
      </c>
      <c r="Q505" s="118" t="s">
        <v>1167</v>
      </c>
      <c r="R505" s="1"/>
      <c r="S505" s="1" t="s">
        <v>1049</v>
      </c>
      <c r="T505" s="1"/>
      <c r="U505" s="24" t="s">
        <v>703</v>
      </c>
      <c r="V505" s="116" t="b">
        <f>OR(B505=$V$1,D505=$V$1,B505="2"&amp;$V$1)</f>
        <v>0</v>
      </c>
      <c r="W505" s="1" t="b">
        <f>OR(J505=$W$1,L505=$W$1,N505=$W$1,J505="2"&amp;$W$1,L505="2"&amp;$W$1,N505="2"&amp;$W$1)</f>
        <v>1</v>
      </c>
      <c r="Y505" s="25" t="str">
        <f>B505&amp;" + "&amp;D505&amp;IF(F505&lt;&gt;""," + "&amp;F505,"")&amp;"-&gt;"&amp;J505&amp;" + "&amp;L505&amp;IF(N505&lt;&gt;""," + "&amp;N505,"")</f>
        <v>H3O+ + NO2--&gt;NO2 + H2O + H</v>
      </c>
      <c r="Z505" s="29">
        <f>O505</f>
        <v>1E-13</v>
      </c>
    </row>
    <row r="506" spans="1:26" ht="22.5" hidden="1" customHeight="1" x14ac:dyDescent="0.25">
      <c r="A506" s="1" t="s">
        <v>513</v>
      </c>
      <c r="B506" s="1" t="s">
        <v>697</v>
      </c>
      <c r="C506" s="2" t="s">
        <v>0</v>
      </c>
      <c r="D506" s="1" t="s">
        <v>1327</v>
      </c>
      <c r="E506" s="2"/>
      <c r="F506" s="22"/>
      <c r="G506" s="4" t="s">
        <v>7</v>
      </c>
      <c r="H506" s="112" t="s">
        <v>1558</v>
      </c>
      <c r="I506" s="4" t="s">
        <v>7</v>
      </c>
      <c r="J506" s="119" t="s">
        <v>1263</v>
      </c>
      <c r="K506" s="2" t="s">
        <v>0</v>
      </c>
      <c r="L506" s="22" t="s">
        <v>812</v>
      </c>
      <c r="M506" s="2" t="s">
        <v>0</v>
      </c>
      <c r="N506" s="125" t="s">
        <v>653</v>
      </c>
      <c r="O506" s="126">
        <f>1*10^-13</f>
        <v>1E-13</v>
      </c>
      <c r="P506" s="146">
        <v>1E-13</v>
      </c>
      <c r="Q506" s="118" t="s">
        <v>1167</v>
      </c>
      <c r="R506" s="1"/>
      <c r="S506" s="1" t="s">
        <v>1049</v>
      </c>
      <c r="T506" s="1"/>
      <c r="U506" s="24" t="s">
        <v>703</v>
      </c>
      <c r="V506" s="116" t="b">
        <f>OR(B506=$V$1,D506=$V$1,B506="2"&amp;$V$1)</f>
        <v>0</v>
      </c>
      <c r="W506" s="1" t="b">
        <f>OR(J506=$W$1,L506=$W$1,N506=$W$1,J506="2"&amp;$W$1,L506="2"&amp;$W$1,N506="2"&amp;$W$1)</f>
        <v>0</v>
      </c>
      <c r="Y506" s="25" t="str">
        <f>B506&amp;" + "&amp;D506&amp;IF(F506&lt;&gt;""," + "&amp;F506,"")&amp;"-&gt;"&amp;J506&amp;" + "&amp;L506&amp;IF(N506&lt;&gt;""," + "&amp;N506,"")</f>
        <v>H3O+ + NO3--&gt;NO3 + H2O + H</v>
      </c>
      <c r="Z506" s="29">
        <f>O506</f>
        <v>1E-13</v>
      </c>
    </row>
    <row r="507" spans="1:26" ht="22.5" hidden="1" customHeight="1" x14ac:dyDescent="0.25">
      <c r="A507" s="1" t="s">
        <v>514</v>
      </c>
      <c r="B507" s="1" t="s">
        <v>697</v>
      </c>
      <c r="C507" s="2" t="s">
        <v>0</v>
      </c>
      <c r="D507" s="1" t="s">
        <v>1328</v>
      </c>
      <c r="E507" s="2"/>
      <c r="F507" s="22"/>
      <c r="G507" s="4" t="s">
        <v>7</v>
      </c>
      <c r="H507" s="112" t="s">
        <v>1558</v>
      </c>
      <c r="I507" s="4" t="s">
        <v>7</v>
      </c>
      <c r="J507" s="119" t="s">
        <v>639</v>
      </c>
      <c r="K507" s="2" t="s">
        <v>0</v>
      </c>
      <c r="L507" s="22" t="s">
        <v>812</v>
      </c>
      <c r="M507" s="2" t="s">
        <v>0</v>
      </c>
      <c r="N507" s="125" t="s">
        <v>653</v>
      </c>
      <c r="O507" s="126">
        <f>1*10^-13</f>
        <v>1E-13</v>
      </c>
      <c r="P507" s="146">
        <v>1E-13</v>
      </c>
      <c r="Q507" s="118" t="s">
        <v>1167</v>
      </c>
      <c r="R507" s="1"/>
      <c r="S507" s="1" t="s">
        <v>1049</v>
      </c>
      <c r="T507" s="1"/>
      <c r="U507" s="24" t="s">
        <v>703</v>
      </c>
      <c r="V507" s="116" t="b">
        <f>OR(B507=$V$1,D507=$V$1,B507="2"&amp;$V$1)</f>
        <v>0</v>
      </c>
      <c r="W507" s="1" t="b">
        <f>OR(J507=$W$1,L507=$W$1,N507=$W$1,J507="2"&amp;$W$1,L507="2"&amp;$W$1,N507="2"&amp;$W$1)</f>
        <v>0</v>
      </c>
      <c r="Y507" s="25" t="str">
        <f>B507&amp;" + "&amp;D507&amp;IF(F507&lt;&gt;""," + "&amp;F507,"")&amp;"-&gt;"&amp;J507&amp;" + "&amp;L507&amp;IF(N507&lt;&gt;""," + "&amp;N507,"")</f>
        <v>H3O+ + O--&gt;O + H2O + H</v>
      </c>
      <c r="Z507" s="29">
        <f>O507</f>
        <v>1E-13</v>
      </c>
    </row>
    <row r="508" spans="1:26" ht="22.5" hidden="1" customHeight="1" x14ac:dyDescent="0.25">
      <c r="A508" s="1" t="s">
        <v>515</v>
      </c>
      <c r="B508" s="1" t="s">
        <v>697</v>
      </c>
      <c r="C508" s="2" t="s">
        <v>0</v>
      </c>
      <c r="D508" s="1" t="s">
        <v>1329</v>
      </c>
      <c r="E508" s="2"/>
      <c r="F508" s="22"/>
      <c r="G508" s="4" t="s">
        <v>7</v>
      </c>
      <c r="H508" s="112" t="s">
        <v>1558</v>
      </c>
      <c r="I508" s="4" t="s">
        <v>7</v>
      </c>
      <c r="J508" s="119" t="s">
        <v>637</v>
      </c>
      <c r="K508" s="2" t="s">
        <v>0</v>
      </c>
      <c r="L508" s="22" t="s">
        <v>812</v>
      </c>
      <c r="M508" s="2" t="s">
        <v>0</v>
      </c>
      <c r="N508" s="125" t="s">
        <v>653</v>
      </c>
      <c r="O508" s="126">
        <f>1*10^-13</f>
        <v>1E-13</v>
      </c>
      <c r="P508" s="146">
        <v>1E-13</v>
      </c>
      <c r="Q508" s="118" t="s">
        <v>1167</v>
      </c>
      <c r="R508" s="1"/>
      <c r="S508" s="1" t="s">
        <v>1049</v>
      </c>
      <c r="T508" s="1"/>
      <c r="U508" s="24" t="s">
        <v>703</v>
      </c>
      <c r="V508" s="116" t="b">
        <f>OR(B508=$V$1,D508=$V$1,B508="2"&amp;$V$1)</f>
        <v>0</v>
      </c>
      <c r="W508" s="1" t="b">
        <f>OR(J508=$W$1,L508=$W$1,N508=$W$1,J508="2"&amp;$W$1,L508="2"&amp;$W$1,N508="2"&amp;$W$1)</f>
        <v>0</v>
      </c>
      <c r="Y508" s="25" t="str">
        <f>B508&amp;" + "&amp;D508&amp;IF(F508&lt;&gt;""," + "&amp;F508,"")&amp;"-&gt;"&amp;J508&amp;" + "&amp;L508&amp;IF(N508&lt;&gt;""," + "&amp;N508,"")</f>
        <v>H3O+ + O2--&gt;O2 + H2O + H</v>
      </c>
      <c r="Z508" s="29">
        <f>O508</f>
        <v>1E-13</v>
      </c>
    </row>
    <row r="509" spans="1:26" ht="22.5" hidden="1" customHeight="1" x14ac:dyDescent="0.25">
      <c r="A509" s="1" t="s">
        <v>516</v>
      </c>
      <c r="B509" s="1" t="s">
        <v>697</v>
      </c>
      <c r="C509" s="2" t="s">
        <v>0</v>
      </c>
      <c r="D509" s="1" t="s">
        <v>1330</v>
      </c>
      <c r="E509" s="2"/>
      <c r="F509" s="22"/>
      <c r="G509" s="4" t="s">
        <v>7</v>
      </c>
      <c r="H509" s="112" t="s">
        <v>1558</v>
      </c>
      <c r="I509" s="4" t="s">
        <v>7</v>
      </c>
      <c r="J509" s="119" t="s">
        <v>638</v>
      </c>
      <c r="K509" s="2" t="s">
        <v>0</v>
      </c>
      <c r="L509" s="22" t="s">
        <v>812</v>
      </c>
      <c r="M509" s="2" t="s">
        <v>0</v>
      </c>
      <c r="N509" s="125" t="s">
        <v>653</v>
      </c>
      <c r="O509" s="126">
        <f>1*10^-13</f>
        <v>1E-13</v>
      </c>
      <c r="P509" s="146">
        <v>1E-13</v>
      </c>
      <c r="Q509" s="118" t="s">
        <v>1167</v>
      </c>
      <c r="R509" s="1"/>
      <c r="S509" s="1" t="s">
        <v>1049</v>
      </c>
      <c r="T509" s="1"/>
      <c r="U509" s="24" t="s">
        <v>703</v>
      </c>
      <c r="V509" s="116" t="b">
        <f>OR(B509=$V$1,D509=$V$1,B509="2"&amp;$V$1)</f>
        <v>0</v>
      </c>
      <c r="W509" s="1" t="b">
        <f>OR(J509=$W$1,L509=$W$1,N509=$W$1,J509="2"&amp;$W$1,L509="2"&amp;$W$1,N509="2"&amp;$W$1)</f>
        <v>0</v>
      </c>
      <c r="Y509" s="25" t="str">
        <f>B509&amp;" + "&amp;D509&amp;IF(F509&lt;&gt;""," + "&amp;F509,"")&amp;"-&gt;"&amp;J509&amp;" + "&amp;L509&amp;IF(N509&lt;&gt;""," + "&amp;N509,"")</f>
        <v>H3O+ + O3--&gt;O3 + H2O + H</v>
      </c>
      <c r="Z509" s="29">
        <f>O509</f>
        <v>1E-13</v>
      </c>
    </row>
    <row r="510" spans="1:26" ht="22.5" hidden="1" customHeight="1" x14ac:dyDescent="0.25">
      <c r="A510" s="1" t="s">
        <v>517</v>
      </c>
      <c r="B510" s="1" t="s">
        <v>697</v>
      </c>
      <c r="C510" s="2" t="s">
        <v>0</v>
      </c>
      <c r="D510" s="1" t="s">
        <v>1331</v>
      </c>
      <c r="E510" s="2"/>
      <c r="F510" s="22"/>
      <c r="G510" s="4" t="s">
        <v>7</v>
      </c>
      <c r="H510" s="112" t="s">
        <v>1558</v>
      </c>
      <c r="I510" s="4" t="s">
        <v>7</v>
      </c>
      <c r="J510" s="119" t="s">
        <v>1409</v>
      </c>
      <c r="K510" s="2" t="s">
        <v>0</v>
      </c>
      <c r="L510" s="22" t="s">
        <v>812</v>
      </c>
      <c r="M510" s="1" t="s">
        <v>0</v>
      </c>
      <c r="N510" s="129" t="s">
        <v>653</v>
      </c>
      <c r="O510" s="126">
        <f>1*10^-13</f>
        <v>1E-13</v>
      </c>
      <c r="P510" s="146">
        <v>1E-13</v>
      </c>
      <c r="Q510" s="118" t="s">
        <v>1167</v>
      </c>
      <c r="R510" s="1"/>
      <c r="S510" s="1" t="s">
        <v>1049</v>
      </c>
      <c r="T510" s="1"/>
      <c r="U510" s="24" t="s">
        <v>703</v>
      </c>
      <c r="V510" s="116" t="b">
        <f>OR(B510=$V$1,D510=$V$1,B510="2"&amp;$V$1)</f>
        <v>0</v>
      </c>
      <c r="W510" s="1" t="b">
        <f>OR(J510=$W$1,L510=$W$1,N510=$W$1,J510="2"&amp;$W$1,L510="2"&amp;$W$1,N510="2"&amp;$W$1)</f>
        <v>0</v>
      </c>
      <c r="Y510" s="25" t="str">
        <f>B510&amp;" + "&amp;D510&amp;IF(F510&lt;&gt;""," + "&amp;F510,"")&amp;"-&gt;"&amp;J510&amp;" + "&amp;L510&amp;IF(N510&lt;&gt;""," + "&amp;N510,"")</f>
        <v>H3O+ + O4--&gt;2O2 + H2O + H</v>
      </c>
      <c r="Z510" s="29">
        <f>O510</f>
        <v>1E-13</v>
      </c>
    </row>
    <row r="511" spans="1:26" ht="22.5" hidden="1" customHeight="1" x14ac:dyDescent="0.25">
      <c r="A511" s="1" t="s">
        <v>518</v>
      </c>
      <c r="B511" s="1" t="s">
        <v>697</v>
      </c>
      <c r="C511" s="2" t="s">
        <v>0</v>
      </c>
      <c r="D511" s="1" t="s">
        <v>1323</v>
      </c>
      <c r="E511" s="2"/>
      <c r="F511" s="22"/>
      <c r="G511" s="4" t="s">
        <v>7</v>
      </c>
      <c r="H511" s="112" t="s">
        <v>1558</v>
      </c>
      <c r="I511" s="4" t="s">
        <v>7</v>
      </c>
      <c r="J511" s="119" t="s">
        <v>1415</v>
      </c>
      <c r="K511" s="2" t="s">
        <v>0</v>
      </c>
      <c r="L511" s="22" t="s">
        <v>812</v>
      </c>
      <c r="M511" s="2"/>
      <c r="N511" s="125"/>
      <c r="O511" s="126">
        <f>1*10^-13</f>
        <v>1E-13</v>
      </c>
      <c r="P511" s="146">
        <v>1E-13</v>
      </c>
      <c r="Q511" s="118" t="s">
        <v>1167</v>
      </c>
      <c r="R511" s="1"/>
      <c r="S511" s="1" t="s">
        <v>1049</v>
      </c>
      <c r="T511" s="1"/>
      <c r="U511" s="24" t="s">
        <v>703</v>
      </c>
      <c r="V511" s="116" t="b">
        <f>OR(B511=$V$1,D511=$V$1,B511="2"&amp;$V$1)</f>
        <v>0</v>
      </c>
      <c r="W511" s="1" t="b">
        <f>OR(J511=$W$1,L511=$W$1,N511=$W$1,J511="2"&amp;$W$1,L511="2"&amp;$W$1,N511="2"&amp;$W$1)</f>
        <v>0</v>
      </c>
      <c r="Y511" s="25" t="str">
        <f>B511&amp;" + "&amp;D511&amp;IF(F511&lt;&gt;""," + "&amp;F511,"")&amp;"-&gt;"&amp;J511&amp;" + "&amp;L511&amp;IF(N511&lt;&gt;""," + "&amp;N511,"")</f>
        <v>H3O+ + H--&gt;2H + H2O</v>
      </c>
      <c r="Z511" s="29">
        <f>O511</f>
        <v>1E-13</v>
      </c>
    </row>
    <row r="512" spans="1:26" ht="22.5" hidden="1" customHeight="1" x14ac:dyDescent="0.25">
      <c r="A512" s="1" t="s">
        <v>519</v>
      </c>
      <c r="B512" s="1" t="s">
        <v>697</v>
      </c>
      <c r="C512" s="2" t="s">
        <v>0</v>
      </c>
      <c r="D512" s="1" t="s">
        <v>1332</v>
      </c>
      <c r="E512" s="2"/>
      <c r="F512" s="22"/>
      <c r="G512" s="4" t="s">
        <v>7</v>
      </c>
      <c r="H512" s="112" t="s">
        <v>1558</v>
      </c>
      <c r="I512" s="4" t="s">
        <v>7</v>
      </c>
      <c r="J512" s="119" t="s">
        <v>654</v>
      </c>
      <c r="K512" s="2" t="s">
        <v>0</v>
      </c>
      <c r="L512" s="22" t="s">
        <v>812</v>
      </c>
      <c r="M512" s="2" t="s">
        <v>0</v>
      </c>
      <c r="N512" s="125" t="s">
        <v>653</v>
      </c>
      <c r="O512" s="126">
        <f>1*10^-13</f>
        <v>1E-13</v>
      </c>
      <c r="P512" s="146">
        <v>1E-13</v>
      </c>
      <c r="Q512" s="118" t="s">
        <v>1167</v>
      </c>
      <c r="R512" s="1"/>
      <c r="S512" s="1" t="s">
        <v>1049</v>
      </c>
      <c r="T512" s="1"/>
      <c r="U512" s="24" t="s">
        <v>703</v>
      </c>
      <c r="V512" s="116" t="b">
        <f>OR(B512=$V$1,D512=$V$1,B512="2"&amp;$V$1)</f>
        <v>0</v>
      </c>
      <c r="W512" s="1" t="b">
        <f>OR(J512=$W$1,L512=$W$1,N512=$W$1,J512="2"&amp;$W$1,L512="2"&amp;$W$1,N512="2"&amp;$W$1)</f>
        <v>0</v>
      </c>
      <c r="Y512" s="25" t="str">
        <f>B512&amp;" + "&amp;D512&amp;IF(F512&lt;&gt;""," + "&amp;F512,"")&amp;"-&gt;"&amp;J512&amp;" + "&amp;L512&amp;IF(N512&lt;&gt;""," + "&amp;N512,"")</f>
        <v>H3O+ + OH--&gt;OH + H2O + H</v>
      </c>
      <c r="Z512" s="29">
        <f>O512</f>
        <v>1E-13</v>
      </c>
    </row>
    <row r="513" spans="1:26" ht="22.5" customHeight="1" x14ac:dyDescent="0.25">
      <c r="A513" s="1" t="s">
        <v>520</v>
      </c>
      <c r="B513" s="1" t="s">
        <v>1416</v>
      </c>
      <c r="C513" s="2" t="s">
        <v>0</v>
      </c>
      <c r="D513" s="22" t="s">
        <v>687</v>
      </c>
      <c r="E513" s="2"/>
      <c r="F513" s="3"/>
      <c r="G513" s="4" t="s">
        <v>7</v>
      </c>
      <c r="H513" s="112" t="s">
        <v>1559</v>
      </c>
      <c r="I513" s="4" t="s">
        <v>7</v>
      </c>
      <c r="J513" s="119" t="s">
        <v>3</v>
      </c>
      <c r="K513" s="2" t="s">
        <v>0</v>
      </c>
      <c r="L513" s="22" t="s">
        <v>687</v>
      </c>
      <c r="M513" s="2"/>
      <c r="N513" s="125"/>
      <c r="O513" s="126">
        <f>8.3*10^-46*EXP(500/Tg)*NM</f>
        <v>1.1670767503043607E-19</v>
      </c>
      <c r="P513" s="146">
        <v>1.1670767503043607E-19</v>
      </c>
      <c r="Q513" s="118" t="s">
        <v>1168</v>
      </c>
      <c r="R513" s="1"/>
      <c r="S513" s="1" t="s">
        <v>1050</v>
      </c>
      <c r="T513" s="1"/>
      <c r="U513" s="24" t="s">
        <v>691</v>
      </c>
      <c r="V513" s="116" t="b">
        <f>OR(B513=$V$1,D513=$V$1,B513="2"&amp;$V$1)</f>
        <v>0</v>
      </c>
      <c r="W513" s="1" t="b">
        <f>OR(J513=$W$1,L513=$W$1,N513=$W$1,J513="2"&amp;$W$1,L513="2"&amp;$W$1,N513="2"&amp;$W$1)</f>
        <v>0</v>
      </c>
      <c r="X513" s="25" t="s">
        <v>1607</v>
      </c>
      <c r="Y513" s="25" t="str">
        <f>B513&amp;" + "&amp;D513&amp;IF(F513&lt;&gt;""," + "&amp;F513,"")&amp;"-&gt;"&amp;J513&amp;" + "&amp;L513&amp;IF(N513&lt;&gt;""," + "&amp;N513,"")</f>
        <v>2N + M-&gt;N2 + M</v>
      </c>
      <c r="Z513" s="29">
        <f>O513</f>
        <v>1.1670767503043607E-19</v>
      </c>
    </row>
    <row r="514" spans="1:26" ht="22.5" customHeight="1" x14ac:dyDescent="0.25">
      <c r="A514" s="1" t="s">
        <v>521</v>
      </c>
      <c r="B514" s="1" t="s">
        <v>636</v>
      </c>
      <c r="C514" s="2" t="s">
        <v>0</v>
      </c>
      <c r="D514" s="22" t="s">
        <v>688</v>
      </c>
      <c r="E514" s="2"/>
      <c r="F514" s="3"/>
      <c r="G514" s="4" t="s">
        <v>7</v>
      </c>
      <c r="H514" s="112" t="s">
        <v>1559</v>
      </c>
      <c r="I514" s="4" t="s">
        <v>7</v>
      </c>
      <c r="J514" s="119" t="s">
        <v>3</v>
      </c>
      <c r="K514" s="2" t="s">
        <v>0</v>
      </c>
      <c r="L514" s="22" t="s">
        <v>639</v>
      </c>
      <c r="M514" s="2"/>
      <c r="N514" s="125"/>
      <c r="O514" s="126">
        <f>2.1*10^-17*EXP(100/Tg)</f>
        <v>2.9211294750964524E-17</v>
      </c>
      <c r="P514" s="146">
        <v>2.9211294750964524E-17</v>
      </c>
      <c r="Q514" s="118" t="s">
        <v>1169</v>
      </c>
      <c r="R514" s="1"/>
      <c r="S514" s="1" t="s">
        <v>1049</v>
      </c>
      <c r="T514" s="1"/>
      <c r="U514" s="24" t="s">
        <v>1034</v>
      </c>
      <c r="V514" s="116" t="b">
        <f>OR(B514=$V$1,D514=$V$1,B514="2"&amp;$V$1)</f>
        <v>0</v>
      </c>
      <c r="W514" s="1" t="b">
        <f>OR(J514=$W$1,L514=$W$1,N514=$W$1,J514="2"&amp;$W$1,L514="2"&amp;$W$1,N514="2"&amp;$W$1)</f>
        <v>0</v>
      </c>
      <c r="Y514" s="25" t="str">
        <f>B514&amp;" + "&amp;D514&amp;IF(F514&lt;&gt;""," + "&amp;F514,"")&amp;"-&gt;"&amp;J514&amp;" + "&amp;L514&amp;IF(N514&lt;&gt;""," + "&amp;N514,"")</f>
        <v>N + NO-&gt;N2 + O</v>
      </c>
      <c r="Z514" s="29">
        <f>O514</f>
        <v>2.9211294750964524E-17</v>
      </c>
    </row>
    <row r="515" spans="1:26" ht="22.5" customHeight="1" x14ac:dyDescent="0.25">
      <c r="A515" s="1" t="s">
        <v>522</v>
      </c>
      <c r="B515" s="1" t="s">
        <v>636</v>
      </c>
      <c r="C515" s="2" t="s">
        <v>0</v>
      </c>
      <c r="D515" s="1" t="s">
        <v>739</v>
      </c>
      <c r="E515" s="2"/>
      <c r="F515" s="22"/>
      <c r="G515" s="4" t="s">
        <v>7</v>
      </c>
      <c r="H515" s="112" t="s">
        <v>1559</v>
      </c>
      <c r="I515" s="4" t="s">
        <v>7</v>
      </c>
      <c r="J515" s="119" t="s">
        <v>1259</v>
      </c>
      <c r="K515" s="2" t="s">
        <v>0</v>
      </c>
      <c r="L515" s="22" t="s">
        <v>639</v>
      </c>
      <c r="M515" s="2"/>
      <c r="N515" s="125"/>
      <c r="O515" s="126">
        <f>5.8*10^-18*EXP(220/Tg)</f>
        <v>1.1988292215361305E-17</v>
      </c>
      <c r="P515" s="146">
        <v>1.1988292215361305E-17</v>
      </c>
      <c r="Q515" s="118" t="s">
        <v>1170</v>
      </c>
      <c r="R515" s="1"/>
      <c r="S515" s="119" t="s">
        <v>1290</v>
      </c>
      <c r="T515" s="119"/>
      <c r="U515" s="24" t="s">
        <v>1034</v>
      </c>
      <c r="V515" s="116" t="b">
        <f>OR(B515=$V$1,D515=$V$1,B515="2"&amp;$V$1)</f>
        <v>0</v>
      </c>
      <c r="W515" s="1" t="b">
        <f>OR(J515=$W$1,L515=$W$1,N515=$W$1,J515="2"&amp;$W$1,L515="2"&amp;$W$1,N515="2"&amp;$W$1)</f>
        <v>0</v>
      </c>
      <c r="Y515" s="25" t="str">
        <f>B515&amp;" + "&amp;D515&amp;IF(F515&lt;&gt;""," + "&amp;F515,"")&amp;"-&gt;"&amp;J515&amp;" + "&amp;L515&amp;IF(N515&lt;&gt;""," + "&amp;N515,"")</f>
        <v>N + NO2-&gt;N2O + O</v>
      </c>
      <c r="Z515" s="29">
        <f>O515</f>
        <v>1.1988292215361305E-17</v>
      </c>
    </row>
    <row r="516" spans="1:26" ht="22.5" customHeight="1" x14ac:dyDescent="0.25">
      <c r="A516" s="1" t="s">
        <v>523</v>
      </c>
      <c r="B516" s="1" t="s">
        <v>636</v>
      </c>
      <c r="C516" s="2" t="s">
        <v>0</v>
      </c>
      <c r="D516" s="1" t="s">
        <v>739</v>
      </c>
      <c r="E516" s="2"/>
      <c r="F516" s="3"/>
      <c r="G516" s="4" t="s">
        <v>7</v>
      </c>
      <c r="H516" s="112" t="s">
        <v>1559</v>
      </c>
      <c r="I516" s="4" t="s">
        <v>7</v>
      </c>
      <c r="J516" s="119" t="s">
        <v>3</v>
      </c>
      <c r="K516" s="2" t="s">
        <v>0</v>
      </c>
      <c r="L516" s="22" t="s">
        <v>1411</v>
      </c>
      <c r="M516" s="2"/>
      <c r="N516" s="125"/>
      <c r="O516" s="126">
        <f>9.1*10^-19</f>
        <v>9.0999999999999997E-19</v>
      </c>
      <c r="P516" s="146">
        <v>9.0999999999999997E-19</v>
      </c>
      <c r="Q516" s="118" t="s">
        <v>1171</v>
      </c>
      <c r="R516" s="1"/>
      <c r="S516" s="1" t="s">
        <v>1049</v>
      </c>
      <c r="T516" s="1"/>
      <c r="U516" s="24" t="s">
        <v>805</v>
      </c>
      <c r="V516" s="116" t="b">
        <f>OR(B516=$V$1,D516=$V$1,B516="2"&amp;$V$1)</f>
        <v>0</v>
      </c>
      <c r="W516" s="1" t="b">
        <f>OR(J516=$W$1,L516=$W$1,N516=$W$1,J516="2"&amp;$W$1,L516="2"&amp;$W$1,N516="2"&amp;$W$1)</f>
        <v>0</v>
      </c>
      <c r="Y516" s="25" t="str">
        <f>B516&amp;" + "&amp;D516&amp;IF(F516&lt;&gt;""," + "&amp;F516,"")&amp;"-&gt;"&amp;J516&amp;" + "&amp;L516&amp;IF(N516&lt;&gt;""," + "&amp;N516,"")</f>
        <v>N + NO2-&gt;N2 + 2O</v>
      </c>
      <c r="Z516" s="29">
        <f>O516</f>
        <v>9.0999999999999997E-19</v>
      </c>
    </row>
    <row r="517" spans="1:26" ht="22.5" customHeight="1" x14ac:dyDescent="0.25">
      <c r="A517" s="1" t="s">
        <v>578</v>
      </c>
      <c r="B517" s="1" t="s">
        <v>839</v>
      </c>
      <c r="C517" s="2" t="s">
        <v>0</v>
      </c>
      <c r="D517" s="22" t="s">
        <v>739</v>
      </c>
      <c r="E517" s="2"/>
      <c r="F517" s="22"/>
      <c r="G517" s="4" t="s">
        <v>7</v>
      </c>
      <c r="H517" s="112" t="s">
        <v>1559</v>
      </c>
      <c r="I517" s="4" t="s">
        <v>7</v>
      </c>
      <c r="J517" s="119" t="s">
        <v>688</v>
      </c>
      <c r="K517" s="2" t="s">
        <v>0</v>
      </c>
      <c r="L517" s="1" t="s">
        <v>649</v>
      </c>
      <c r="M517" s="2"/>
      <c r="N517" s="125"/>
      <c r="O517" s="126">
        <f>1.4*10^-16</f>
        <v>1.3999999999999998E-16</v>
      </c>
      <c r="P517" s="146">
        <v>1.3999999999999998E-16</v>
      </c>
      <c r="Q517" s="118" t="s">
        <v>1075</v>
      </c>
      <c r="R517" s="1"/>
      <c r="S517" s="1" t="s">
        <v>1050</v>
      </c>
      <c r="T517" s="1"/>
      <c r="U517" s="24" t="s">
        <v>1034</v>
      </c>
      <c r="V517" s="116" t="b">
        <f>OR(B517=$V$1,D517=$V$1,B517="2"&amp;$V$1)</f>
        <v>1</v>
      </c>
      <c r="W517" s="1" t="b">
        <f>OR(J517=$W$1,L517=$W$1,N517=$W$1,J517="2"&amp;$W$1,L517="2"&amp;$W$1,N517="2"&amp;$W$1)</f>
        <v>0</v>
      </c>
      <c r="Y517" s="25" t="str">
        <f>B517&amp;" + "&amp;D517&amp;IF(F517&lt;&gt;""," + "&amp;F517,"")&amp;"-&gt;"&amp;J517&amp;" + "&amp;L517&amp;IF(N517&lt;&gt;""," + "&amp;N517,"")</f>
        <v>O(1D) + NO2-&gt;NO + O2</v>
      </c>
      <c r="Z517" s="29">
        <f>O517</f>
        <v>1.3999999999999998E-16</v>
      </c>
    </row>
    <row r="518" spans="1:26" ht="22.5" customHeight="1" x14ac:dyDescent="0.25">
      <c r="A518" s="1" t="s">
        <v>525</v>
      </c>
      <c r="B518" s="1" t="s">
        <v>636</v>
      </c>
      <c r="C518" s="2" t="s">
        <v>0</v>
      </c>
      <c r="D518" s="1" t="s">
        <v>739</v>
      </c>
      <c r="E518" s="2"/>
      <c r="F518" s="3"/>
      <c r="G518" s="4" t="s">
        <v>7</v>
      </c>
      <c r="H518" s="112" t="s">
        <v>1559</v>
      </c>
      <c r="I518" s="4" t="s">
        <v>7</v>
      </c>
      <c r="J518" s="119" t="s">
        <v>3</v>
      </c>
      <c r="K518" s="2" t="s">
        <v>0</v>
      </c>
      <c r="L518" s="1" t="s">
        <v>649</v>
      </c>
      <c r="M518" s="2"/>
      <c r="N518" s="125"/>
      <c r="O518" s="126">
        <f>7*10^-19</f>
        <v>6.9999999999999993E-19</v>
      </c>
      <c r="P518" s="146">
        <v>6.9999999999999993E-19</v>
      </c>
      <c r="Q518" s="118" t="s">
        <v>1173</v>
      </c>
      <c r="R518" s="1"/>
      <c r="S518" s="1" t="s">
        <v>1049</v>
      </c>
      <c r="T518" s="1"/>
      <c r="U518" s="24" t="s">
        <v>805</v>
      </c>
      <c r="V518" s="116" t="b">
        <f>OR(B518=$V$1,D518=$V$1,B518="2"&amp;$V$1)</f>
        <v>0</v>
      </c>
      <c r="W518" s="1" t="b">
        <f>OR(J518=$W$1,L518=$W$1,N518=$W$1,J518="2"&amp;$W$1,L518="2"&amp;$W$1,N518="2"&amp;$W$1)</f>
        <v>0</v>
      </c>
      <c r="Y518" s="25" t="str">
        <f>B518&amp;" + "&amp;D518&amp;IF(F518&lt;&gt;""," + "&amp;F518,"")&amp;"-&gt;"&amp;J518&amp;" + "&amp;L518&amp;IF(N518&lt;&gt;""," + "&amp;N518,"")</f>
        <v>N + NO2-&gt;N2 + O2</v>
      </c>
      <c r="Z518" s="29">
        <f>O518</f>
        <v>6.9999999999999993E-19</v>
      </c>
    </row>
    <row r="519" spans="1:26" ht="22.5" customHeight="1" x14ac:dyDescent="0.25">
      <c r="A519" s="1" t="s">
        <v>541</v>
      </c>
      <c r="B519" s="1" t="s">
        <v>1482</v>
      </c>
      <c r="C519" s="2" t="s">
        <v>0</v>
      </c>
      <c r="D519" s="22" t="s">
        <v>738</v>
      </c>
      <c r="E519" s="2"/>
      <c r="F519" s="22"/>
      <c r="G519" s="4" t="s">
        <v>7</v>
      </c>
      <c r="H519" s="112" t="s">
        <v>1559</v>
      </c>
      <c r="I519" s="4" t="s">
        <v>7</v>
      </c>
      <c r="J519" s="119" t="s">
        <v>688</v>
      </c>
      <c r="K519" s="2" t="s">
        <v>0</v>
      </c>
      <c r="L519" s="22" t="s">
        <v>636</v>
      </c>
      <c r="M519" s="2" t="s">
        <v>0</v>
      </c>
      <c r="N519" s="125" t="s">
        <v>689</v>
      </c>
      <c r="O519" s="126">
        <f>8*10^-17</f>
        <v>8.0000000000000006E-17</v>
      </c>
      <c r="P519" s="146">
        <v>8.0000000000000006E-17</v>
      </c>
      <c r="Q519" s="118" t="s">
        <v>1184</v>
      </c>
      <c r="R519" s="1"/>
      <c r="S519" s="1" t="s">
        <v>1049</v>
      </c>
      <c r="T519" s="1"/>
      <c r="U519" s="24" t="s">
        <v>756</v>
      </c>
      <c r="V519" s="116" t="b">
        <f>OR(B519=$V$1,D519=$V$1,B519="2"&amp;$V$1)</f>
        <v>0</v>
      </c>
      <c r="W519" s="1" t="b">
        <f>OR(J519=$W$1,L519=$W$1,N519=$W$1,J519="2"&amp;$W$1,L519="2"&amp;$W$1,N519="2"&amp;$W$1)</f>
        <v>0</v>
      </c>
      <c r="X519" s="25" t="s">
        <v>1607</v>
      </c>
      <c r="Y519" s="25" t="str">
        <f>B519&amp;" + "&amp;D519&amp;IF(F519&lt;&gt;""," + "&amp;F519,"")&amp;"-&gt;"&amp;J519&amp;" + "&amp;L519&amp;IF(N519&lt;&gt;""," + "&amp;N519,"")</f>
        <v>N2(A3) + N2O-&gt;NO + N + N2</v>
      </c>
      <c r="Z519" s="29">
        <f>O519</f>
        <v>8.0000000000000006E-17</v>
      </c>
    </row>
    <row r="520" spans="1:26" ht="22.5" customHeight="1" x14ac:dyDescent="0.25">
      <c r="A520" s="1" t="s">
        <v>625</v>
      </c>
      <c r="B520" s="1" t="s">
        <v>654</v>
      </c>
      <c r="C520" s="2" t="s">
        <v>0</v>
      </c>
      <c r="D520" s="22" t="s">
        <v>767</v>
      </c>
      <c r="E520" s="2"/>
      <c r="F520" s="3"/>
      <c r="G520" s="4" t="s">
        <v>7</v>
      </c>
      <c r="H520" s="112" t="s">
        <v>1559</v>
      </c>
      <c r="I520" s="4" t="s">
        <v>7</v>
      </c>
      <c r="J520" s="124" t="s">
        <v>637</v>
      </c>
      <c r="K520" s="2" t="s">
        <v>0</v>
      </c>
      <c r="L520" s="1" t="s">
        <v>812</v>
      </c>
      <c r="M520" s="2"/>
      <c r="N520" s="125"/>
      <c r="O520" s="126">
        <f>4.8*10^-17*EXP(250/Tg)</f>
        <v>1.0953931426018249E-16</v>
      </c>
      <c r="P520" s="146">
        <v>1.0953931426018249E-16</v>
      </c>
      <c r="Q520" s="118" t="s">
        <v>1244</v>
      </c>
      <c r="R520" s="1"/>
      <c r="S520" s="1" t="s">
        <v>1049</v>
      </c>
      <c r="T520" s="1"/>
      <c r="U520" s="24" t="s">
        <v>1036</v>
      </c>
      <c r="V520" s="116" t="b">
        <f>OR(B520=$V$1,D520=$V$1,B520="2"&amp;$V$1)</f>
        <v>0</v>
      </c>
      <c r="W520" s="1" t="b">
        <f>OR(J520=$W$1,L520=$W$1,N520=$W$1,J520="2"&amp;$W$1,L520="2"&amp;$W$1,N520="2"&amp;$W$1)</f>
        <v>0</v>
      </c>
      <c r="Y520" s="25" t="str">
        <f>B520&amp;" + "&amp;D520&amp;IF(F520&lt;&gt;""," + "&amp;F520,"")&amp;"-&gt;"&amp;J520&amp;" + "&amp;L520&amp;IF(N520&lt;&gt;""," + "&amp;N520,"")</f>
        <v>OH + HO2-&gt;O2 + H2O</v>
      </c>
      <c r="Z520" s="29">
        <f>O520</f>
        <v>1.0953931426018249E-16</v>
      </c>
    </row>
    <row r="521" spans="1:26" ht="22.5" customHeight="1" x14ac:dyDescent="0.25">
      <c r="A521" s="1" t="s">
        <v>576</v>
      </c>
      <c r="B521" s="1" t="s">
        <v>839</v>
      </c>
      <c r="C521" s="2" t="s">
        <v>0</v>
      </c>
      <c r="D521" s="22" t="s">
        <v>738</v>
      </c>
      <c r="E521" s="2"/>
      <c r="F521" s="22"/>
      <c r="G521" s="4" t="s">
        <v>7</v>
      </c>
      <c r="H521" s="112" t="s">
        <v>1559</v>
      </c>
      <c r="I521" s="4" t="s">
        <v>7</v>
      </c>
      <c r="J521" s="119" t="s">
        <v>1418</v>
      </c>
      <c r="K521" s="2"/>
      <c r="L521" s="22"/>
      <c r="M521" s="2"/>
      <c r="N521" s="125"/>
      <c r="O521" s="126">
        <f>7.2*10^-17</f>
        <v>7.2000000000000011E-17</v>
      </c>
      <c r="P521" s="146">
        <v>7.2000000000000011E-17</v>
      </c>
      <c r="Q521" s="118" t="s">
        <v>1205</v>
      </c>
      <c r="R521" s="1"/>
      <c r="S521" s="1" t="s">
        <v>1050</v>
      </c>
      <c r="T521" s="1"/>
      <c r="U521" s="24" t="s">
        <v>1034</v>
      </c>
      <c r="V521" s="116" t="b">
        <f>OR(B521=$V$1,D521=$V$1,B521="2"&amp;$V$1)</f>
        <v>1</v>
      </c>
      <c r="W521" s="1" t="b">
        <f>OR(J521=$W$1,L521=$W$1,N521=$W$1,J521="2"&amp;$W$1,L521="2"&amp;$W$1,N521="2"&amp;$W$1)</f>
        <v>0</v>
      </c>
      <c r="Y521" s="25" t="str">
        <f>B521&amp;" + "&amp;D521&amp;IF(F521&lt;&gt;""," + "&amp;F521,"")&amp;"-&gt;"&amp;J521&amp;" + "&amp;L521&amp;IF(N521&lt;&gt;""," + "&amp;N521,"")</f>
        <v xml:space="preserve">O(1D) + N2O-&gt;2NO + </v>
      </c>
      <c r="Z521" s="29">
        <f>O521</f>
        <v>7.2000000000000011E-17</v>
      </c>
    </row>
    <row r="522" spans="1:26" ht="22.5" customHeight="1" x14ac:dyDescent="0.25">
      <c r="A522" s="1" t="s">
        <v>601</v>
      </c>
      <c r="B522" s="1" t="s">
        <v>739</v>
      </c>
      <c r="C522" s="2" t="s">
        <v>0</v>
      </c>
      <c r="D522" s="22" t="s">
        <v>653</v>
      </c>
      <c r="E522" s="2"/>
      <c r="F522" s="22"/>
      <c r="G522" s="4" t="s">
        <v>7</v>
      </c>
      <c r="H522" s="112" t="s">
        <v>1559</v>
      </c>
      <c r="I522" s="4" t="s">
        <v>7</v>
      </c>
      <c r="J522" s="119" t="s">
        <v>654</v>
      </c>
      <c r="K522" s="2" t="s">
        <v>0</v>
      </c>
      <c r="L522" s="22" t="s">
        <v>688</v>
      </c>
      <c r="M522" s="2"/>
      <c r="N522" s="125"/>
      <c r="O522" s="126">
        <f>5.8*10^-16*EXP(-740/Tg)</f>
        <v>5.043996812300465E-17</v>
      </c>
      <c r="P522" s="146">
        <v>5.043996812300465E-17</v>
      </c>
      <c r="Q522" s="118" t="s">
        <v>1545</v>
      </c>
      <c r="R522" s="1"/>
      <c r="S522" s="1" t="s">
        <v>1049</v>
      </c>
      <c r="T522" s="1"/>
      <c r="U522" s="24" t="s">
        <v>691</v>
      </c>
      <c r="V522" s="116" t="b">
        <f>OR(B522=$V$1,D522=$V$1,B522="2"&amp;$V$1)</f>
        <v>0</v>
      </c>
      <c r="W522" s="1" t="b">
        <f>OR(J522=$W$1,L522=$W$1,N522=$W$1,J522="2"&amp;$W$1,L522="2"&amp;$W$1,N522="2"&amp;$W$1)</f>
        <v>0</v>
      </c>
      <c r="Y522" s="25" t="str">
        <f>B522&amp;" + "&amp;D522&amp;IF(F522&lt;&gt;""," + "&amp;F522,"")&amp;"-&gt;"&amp;J522&amp;" + "&amp;L522&amp;IF(N522&lt;&gt;""," + "&amp;N522,"")</f>
        <v>NO2 + H-&gt;OH + NO</v>
      </c>
      <c r="Z522" s="29">
        <f>O522</f>
        <v>5.043996812300465E-17</v>
      </c>
    </row>
    <row r="523" spans="1:26" ht="22.5" customHeight="1" x14ac:dyDescent="0.25">
      <c r="A523" s="1" t="s">
        <v>577</v>
      </c>
      <c r="B523" s="1" t="s">
        <v>646</v>
      </c>
      <c r="C523" s="2" t="s">
        <v>0</v>
      </c>
      <c r="D523" s="22" t="s">
        <v>688</v>
      </c>
      <c r="E523" s="2"/>
      <c r="F523" s="22"/>
      <c r="G523" s="4" t="s">
        <v>7</v>
      </c>
      <c r="H523" s="112" t="s">
        <v>1559</v>
      </c>
      <c r="I523" s="4" t="s">
        <v>7</v>
      </c>
      <c r="J523" s="119" t="s">
        <v>639</v>
      </c>
      <c r="K523" s="2" t="s">
        <v>0</v>
      </c>
      <c r="L523" s="22" t="s">
        <v>688</v>
      </c>
      <c r="M523" s="2"/>
      <c r="N523" s="125"/>
      <c r="O523" s="126">
        <f>4*10^-17</f>
        <v>4.0000000000000003E-17</v>
      </c>
      <c r="P523" s="146">
        <v>4.0000000000000003E-17</v>
      </c>
      <c r="Q523" s="118" t="s">
        <v>1206</v>
      </c>
      <c r="R523" s="1"/>
      <c r="S523" s="1" t="s">
        <v>1050</v>
      </c>
      <c r="T523" s="1"/>
      <c r="U523" s="24" t="s">
        <v>1035</v>
      </c>
      <c r="V523" s="116" t="b">
        <f>OR(B523=$V$1,D523=$V$1,B523="2"&amp;$V$1)</f>
        <v>1</v>
      </c>
      <c r="W523" s="1" t="b">
        <f>OR(J523=$W$1,L523=$W$1,N523=$W$1,J523="2"&amp;$W$1,L523="2"&amp;$W$1,N523="2"&amp;$W$1)</f>
        <v>0</v>
      </c>
      <c r="Y523" s="25" t="str">
        <f>B523&amp;" + "&amp;D523&amp;IF(F523&lt;&gt;""," + "&amp;F523,"")&amp;"-&gt;"&amp;J523&amp;" + "&amp;L523&amp;IF(N523&lt;&gt;""," + "&amp;N523,"")</f>
        <v>O(1D) + NO-&gt;O + NO</v>
      </c>
      <c r="Z523" s="29">
        <f>O523</f>
        <v>4.0000000000000003E-17</v>
      </c>
    </row>
    <row r="524" spans="1:26" ht="22.5" customHeight="1" x14ac:dyDescent="0.25">
      <c r="A524" s="1" t="s">
        <v>1311</v>
      </c>
      <c r="B524" s="1" t="s">
        <v>1482</v>
      </c>
      <c r="C524" s="2" t="s">
        <v>0</v>
      </c>
      <c r="D524" s="1" t="s">
        <v>688</v>
      </c>
      <c r="E524" s="2"/>
      <c r="F524" s="22"/>
      <c r="G524" s="4" t="s">
        <v>7</v>
      </c>
      <c r="H524" s="112" t="s">
        <v>1559</v>
      </c>
      <c r="I524" s="4" t="s">
        <v>7</v>
      </c>
      <c r="J524" s="22" t="s">
        <v>689</v>
      </c>
      <c r="K524" s="2" t="s">
        <v>0</v>
      </c>
      <c r="L524" s="1" t="s">
        <v>688</v>
      </c>
      <c r="M524" s="2"/>
      <c r="N524" s="125"/>
      <c r="O524" s="126">
        <f>2.8*10^-17</f>
        <v>2.7999999999999999E-17</v>
      </c>
      <c r="P524" s="146">
        <v>2.7999999999999999E-17</v>
      </c>
      <c r="Q524" s="118" t="s">
        <v>1312</v>
      </c>
      <c r="R524" s="1"/>
      <c r="S524" s="1" t="s">
        <v>1283</v>
      </c>
      <c r="T524" s="1"/>
      <c r="U524" s="24"/>
      <c r="V524" s="116" t="b">
        <f>OR(B524=$V$1,D524=$V$1,B524="2"&amp;$V$1)</f>
        <v>0</v>
      </c>
      <c r="W524" s="1" t="b">
        <f>OR(J524=$W$1,L524=$W$1,N524=$W$1,J524="2"&amp;$W$1,L524="2"&amp;$W$1,N524="2"&amp;$W$1)</f>
        <v>0</v>
      </c>
      <c r="Y524" s="25" t="str">
        <f>B524&amp;" + "&amp;D524&amp;IF(F524&lt;&gt;""," + "&amp;F524,"")&amp;"-&gt;"&amp;J524&amp;" + "&amp;L524&amp;IF(N524&lt;&gt;""," + "&amp;N524,"")</f>
        <v>N2(A3) + NO-&gt;N2 + NO</v>
      </c>
      <c r="Z524" s="29">
        <f>O524</f>
        <v>2.7999999999999999E-17</v>
      </c>
    </row>
    <row r="525" spans="1:26" ht="22.5" customHeight="1" x14ac:dyDescent="0.25">
      <c r="A525" s="1" t="s">
        <v>531</v>
      </c>
      <c r="B525" s="1" t="s">
        <v>814</v>
      </c>
      <c r="C525" s="2" t="s">
        <v>0</v>
      </c>
      <c r="D525" s="22" t="s">
        <v>689</v>
      </c>
      <c r="E525" s="2"/>
      <c r="F525" s="3"/>
      <c r="G525" s="4" t="s">
        <v>7</v>
      </c>
      <c r="H525" s="112" t="s">
        <v>1559</v>
      </c>
      <c r="I525" s="4" t="s">
        <v>7</v>
      </c>
      <c r="J525" s="119" t="s">
        <v>636</v>
      </c>
      <c r="K525" s="2" t="s">
        <v>0</v>
      </c>
      <c r="L525" s="22" t="s">
        <v>689</v>
      </c>
      <c r="M525" s="2"/>
      <c r="N525" s="125"/>
      <c r="O525" s="126">
        <f>5*10^-17*EXP(-1620/Tg)</f>
        <v>2.3823167651848444E-19</v>
      </c>
      <c r="P525" s="146">
        <v>2.3823167651848444E-19</v>
      </c>
      <c r="Q525" s="118" t="s">
        <v>1177</v>
      </c>
      <c r="R525" s="1"/>
      <c r="S525" s="1" t="s">
        <v>1049</v>
      </c>
      <c r="T525" s="1"/>
      <c r="U525" s="24" t="s">
        <v>1034</v>
      </c>
      <c r="V525" s="116" t="b">
        <f>OR(B525=$V$1,D525=$V$1,B525="2"&amp;$V$1)</f>
        <v>0</v>
      </c>
      <c r="W525" s="1" t="b">
        <f>OR(J525=$W$1,L525=$W$1,N525=$W$1,J525="2"&amp;$W$1,L525="2"&amp;$W$1,N525="2"&amp;$W$1)</f>
        <v>0</v>
      </c>
      <c r="Y525" s="25" t="str">
        <f>B525&amp;" + "&amp;D525&amp;IF(F525&lt;&gt;""," + "&amp;F525,"")&amp;"-&gt;"&amp;J525&amp;" + "&amp;L525&amp;IF(N525&lt;&gt;""," + "&amp;N525,"")</f>
        <v>N(2D) + N2-&gt;N + N2</v>
      </c>
      <c r="Z525" s="29">
        <f>O525</f>
        <v>2.3823167651848444E-19</v>
      </c>
    </row>
    <row r="526" spans="1:26" ht="22.5" customHeight="1" x14ac:dyDescent="0.25">
      <c r="A526" s="1" t="s">
        <v>1373</v>
      </c>
      <c r="B526" s="1" t="s">
        <v>1343</v>
      </c>
      <c r="C526" s="2" t="s">
        <v>0</v>
      </c>
      <c r="D526" s="22" t="s">
        <v>689</v>
      </c>
      <c r="E526" s="2"/>
      <c r="F526" s="3"/>
      <c r="G526" s="4" t="s">
        <v>7</v>
      </c>
      <c r="H526" s="112" t="s">
        <v>1559</v>
      </c>
      <c r="I526" s="4" t="s">
        <v>7</v>
      </c>
      <c r="J526" s="119" t="s">
        <v>636</v>
      </c>
      <c r="K526" s="2" t="s">
        <v>0</v>
      </c>
      <c r="L526" s="22" t="s">
        <v>689</v>
      </c>
      <c r="M526" s="2"/>
      <c r="N526" s="125"/>
      <c r="O526" s="126">
        <f>6*10^-20</f>
        <v>5.9999999999999994E-20</v>
      </c>
      <c r="P526" s="146">
        <v>5.9999999999999994E-20</v>
      </c>
      <c r="Q526" s="118" t="s">
        <v>1346</v>
      </c>
      <c r="R526" s="1"/>
      <c r="S526" s="1" t="s">
        <v>1342</v>
      </c>
      <c r="T526" s="1"/>
      <c r="U526" s="24"/>
      <c r="V526" s="116" t="b">
        <f>OR(B526=$V$1,D526=$V$1,B526="2"&amp;$V$1)</f>
        <v>0</v>
      </c>
      <c r="W526" s="1" t="b">
        <f>OR(J526=$W$1,L526=$W$1,N526=$W$1,J526="2"&amp;$W$1,L526="2"&amp;$W$1,N526="2"&amp;$W$1)</f>
        <v>0</v>
      </c>
      <c r="Y526" s="25" t="str">
        <f>B526&amp;" + "&amp;D526&amp;IF(F526&lt;&gt;""," + "&amp;F526,"")&amp;"-&gt;"&amp;J526&amp;" + "&amp;L526&amp;IF(N526&lt;&gt;""," + "&amp;N526,"")</f>
        <v>N(2P) + N2-&gt;N + N2</v>
      </c>
      <c r="Z526" s="29">
        <f>O526</f>
        <v>5.9999999999999994E-20</v>
      </c>
    </row>
    <row r="527" spans="1:26" ht="22.5" customHeight="1" x14ac:dyDescent="0.25">
      <c r="A527" s="1" t="s">
        <v>1374</v>
      </c>
      <c r="B527" s="1" t="s">
        <v>814</v>
      </c>
      <c r="C527" s="2" t="s">
        <v>0</v>
      </c>
      <c r="D527" s="22" t="s">
        <v>812</v>
      </c>
      <c r="E527" s="2"/>
      <c r="F527" s="22"/>
      <c r="G527" s="4" t="s">
        <v>7</v>
      </c>
      <c r="H527" s="112" t="s">
        <v>1559</v>
      </c>
      <c r="I527" s="4" t="s">
        <v>7</v>
      </c>
      <c r="J527" s="119" t="s">
        <v>1340</v>
      </c>
      <c r="K527" s="2" t="s">
        <v>0</v>
      </c>
      <c r="L527" s="22" t="s">
        <v>654</v>
      </c>
      <c r="M527" s="2"/>
      <c r="N527" s="125"/>
      <c r="O527" s="130">
        <f>1.4*10^-17</f>
        <v>1.3999999999999999E-17</v>
      </c>
      <c r="P527" s="148">
        <v>1.3999999999999999E-17</v>
      </c>
      <c r="Q527" s="118" t="s">
        <v>1341</v>
      </c>
      <c r="R527" s="1"/>
      <c r="S527" s="1" t="s">
        <v>1342</v>
      </c>
      <c r="T527" s="1"/>
      <c r="U527" s="24"/>
      <c r="V527" s="116" t="b">
        <f>OR(B527=$V$1,D527=$V$1,B527="2"&amp;$V$1)</f>
        <v>0</v>
      </c>
      <c r="W527" s="1" t="b">
        <f>OR(J527=$W$1,L527=$W$1,N527=$W$1,J527="2"&amp;$W$1,L527="2"&amp;$W$1,N527="2"&amp;$W$1)</f>
        <v>0</v>
      </c>
      <c r="Y527" s="25" t="str">
        <f>B527&amp;" + "&amp;D527&amp;IF(F527&lt;&gt;""," + "&amp;F527,"")&amp;"-&gt;"&amp;J527&amp;" + "&amp;L527&amp;IF(N527&lt;&gt;""," + "&amp;N527,"")</f>
        <v>N(2D) + H2O-&gt;NH + OH</v>
      </c>
      <c r="Z527" s="29">
        <f>O527</f>
        <v>1.3999999999999999E-17</v>
      </c>
    </row>
    <row r="528" spans="1:26" ht="22.5" customHeight="1" x14ac:dyDescent="0.25">
      <c r="A528" s="1" t="s">
        <v>1375</v>
      </c>
      <c r="B528" s="1" t="s">
        <v>814</v>
      </c>
      <c r="C528" s="2" t="s">
        <v>0</v>
      </c>
      <c r="D528" s="22" t="s">
        <v>812</v>
      </c>
      <c r="E528" s="2"/>
      <c r="F528" s="22"/>
      <c r="G528" s="4" t="s">
        <v>7</v>
      </c>
      <c r="H528" s="112" t="s">
        <v>1559</v>
      </c>
      <c r="I528" s="4" t="s">
        <v>7</v>
      </c>
      <c r="J528" s="119" t="s">
        <v>653</v>
      </c>
      <c r="K528" s="2" t="s">
        <v>0</v>
      </c>
      <c r="L528" s="22" t="s">
        <v>811</v>
      </c>
      <c r="M528" s="2"/>
      <c r="N528" s="125"/>
      <c r="O528" s="130">
        <f>1.4*10^-17</f>
        <v>1.3999999999999999E-17</v>
      </c>
      <c r="P528" s="148">
        <v>1.3999999999999999E-17</v>
      </c>
      <c r="Q528" s="118" t="s">
        <v>1341</v>
      </c>
      <c r="R528" s="1"/>
      <c r="S528" s="1" t="s">
        <v>1342</v>
      </c>
      <c r="T528" s="1"/>
      <c r="U528" s="24"/>
      <c r="V528" s="116" t="b">
        <f>OR(B528=$V$1,D528=$V$1,B528="2"&amp;$V$1)</f>
        <v>0</v>
      </c>
      <c r="W528" s="1" t="b">
        <f>OR(J528=$W$1,L528=$W$1,N528=$W$1,J528="2"&amp;$W$1,L528="2"&amp;$W$1,N528="2"&amp;$W$1)</f>
        <v>0</v>
      </c>
      <c r="Y528" s="25" t="str">
        <f>B528&amp;" + "&amp;D528&amp;IF(F528&lt;&gt;""," + "&amp;F528,"")&amp;"-&gt;"&amp;J528&amp;" + "&amp;L528&amp;IF(N528&lt;&gt;""," + "&amp;N528,"")</f>
        <v>N(2D) + H2O-&gt;H + HNO</v>
      </c>
      <c r="Z528" s="29">
        <f>O528</f>
        <v>1.3999999999999999E-17</v>
      </c>
    </row>
    <row r="529" spans="1:26" ht="22.5" customHeight="1" x14ac:dyDescent="0.25">
      <c r="A529" s="1" t="s">
        <v>529</v>
      </c>
      <c r="B529" s="1" t="s">
        <v>636</v>
      </c>
      <c r="C529" s="2" t="s">
        <v>0</v>
      </c>
      <c r="D529" s="22" t="s">
        <v>654</v>
      </c>
      <c r="E529" s="2"/>
      <c r="F529" s="22"/>
      <c r="G529" s="4" t="s">
        <v>7</v>
      </c>
      <c r="H529" s="112" t="s">
        <v>1559</v>
      </c>
      <c r="I529" s="4" t="s">
        <v>7</v>
      </c>
      <c r="J529" s="119" t="s">
        <v>653</v>
      </c>
      <c r="K529" s="2" t="s">
        <v>0</v>
      </c>
      <c r="L529" s="22" t="s">
        <v>688</v>
      </c>
      <c r="M529" s="2"/>
      <c r="N529" s="125"/>
      <c r="O529" s="126">
        <f>7.5*10^-17</f>
        <v>7.5000000000000011E-17</v>
      </c>
      <c r="P529" s="146">
        <v>7.5000000000000011E-17</v>
      </c>
      <c r="Q529" s="118" t="s">
        <v>1175</v>
      </c>
      <c r="R529" s="1"/>
      <c r="S529" s="1" t="s">
        <v>1049</v>
      </c>
      <c r="T529" s="1"/>
      <c r="U529" s="24" t="s">
        <v>691</v>
      </c>
      <c r="V529" s="116" t="b">
        <f>OR(B529=$V$1,D529=$V$1,B529="2"&amp;$V$1)</f>
        <v>0</v>
      </c>
      <c r="W529" s="1" t="b">
        <f>OR(J529=$W$1,L529=$W$1,N529=$W$1,J529="2"&amp;$W$1,L529="2"&amp;$W$1,N529="2"&amp;$W$1)</f>
        <v>0</v>
      </c>
      <c r="Y529" s="25" t="str">
        <f>B529&amp;" + "&amp;D529&amp;IF(F529&lt;&gt;""," + "&amp;F529,"")&amp;"-&gt;"&amp;J529&amp;" + "&amp;L529&amp;IF(N529&lt;&gt;""," + "&amp;N529,"")</f>
        <v>N + OH-&gt;H + NO</v>
      </c>
      <c r="Z529" s="29">
        <f>O529</f>
        <v>7.5000000000000011E-17</v>
      </c>
    </row>
    <row r="530" spans="1:26" ht="22.5" customHeight="1" x14ac:dyDescent="0.25">
      <c r="A530" s="1" t="s">
        <v>1376</v>
      </c>
      <c r="B530" s="1" t="s">
        <v>814</v>
      </c>
      <c r="C530" s="2" t="s">
        <v>0</v>
      </c>
      <c r="D530" s="22" t="s">
        <v>812</v>
      </c>
      <c r="E530" s="2"/>
      <c r="F530" s="22"/>
      <c r="G530" s="4" t="s">
        <v>7</v>
      </c>
      <c r="H530" s="112" t="s">
        <v>1559</v>
      </c>
      <c r="I530" s="4" t="s">
        <v>7</v>
      </c>
      <c r="J530" s="124" t="s">
        <v>640</v>
      </c>
      <c r="K530" s="2" t="s">
        <v>0</v>
      </c>
      <c r="L530" s="22" t="s">
        <v>688</v>
      </c>
      <c r="M530" s="2"/>
      <c r="N530" s="125"/>
      <c r="O530" s="126">
        <f>1.4*10^-17</f>
        <v>1.3999999999999999E-17</v>
      </c>
      <c r="P530" s="146">
        <v>1.3999999999999999E-17</v>
      </c>
      <c r="Q530" s="118" t="s">
        <v>1341</v>
      </c>
      <c r="R530" s="1"/>
      <c r="S530" s="1" t="s">
        <v>1342</v>
      </c>
      <c r="T530" s="1"/>
      <c r="U530" s="24"/>
      <c r="V530" s="116" t="b">
        <f>OR(B530=$V$1,D530=$V$1,B530="2"&amp;$V$1)</f>
        <v>0</v>
      </c>
      <c r="W530" s="1" t="b">
        <f>OR(J530=$W$1,L530=$W$1,N530=$W$1,J530="2"&amp;$W$1,L530="2"&amp;$W$1,N530="2"&amp;$W$1)</f>
        <v>0</v>
      </c>
      <c r="Y530" s="25" t="str">
        <f>B530&amp;" + "&amp;D530&amp;IF(F530&lt;&gt;""," + "&amp;F530,"")&amp;"-&gt;"&amp;J530&amp;" + "&amp;L530&amp;IF(N530&lt;&gt;""," + "&amp;N530,"")</f>
        <v>N(2D) + H2O-&gt;H2 + NO</v>
      </c>
      <c r="Z530" s="29">
        <f>O530</f>
        <v>1.3999999999999999E-17</v>
      </c>
    </row>
    <row r="531" spans="1:26" ht="22.5" customHeight="1" x14ac:dyDescent="0.25">
      <c r="A531" s="1" t="s">
        <v>542</v>
      </c>
      <c r="B531" s="1" t="s">
        <v>1482</v>
      </c>
      <c r="C531" s="2" t="s">
        <v>0</v>
      </c>
      <c r="D531" s="22" t="s">
        <v>739</v>
      </c>
      <c r="E531" s="2"/>
      <c r="F531" s="22"/>
      <c r="G531" s="4" t="s">
        <v>7</v>
      </c>
      <c r="H531" s="112" t="s">
        <v>1559</v>
      </c>
      <c r="I531" s="4" t="s">
        <v>7</v>
      </c>
      <c r="J531" s="124" t="s">
        <v>3</v>
      </c>
      <c r="K531" s="2" t="s">
        <v>0</v>
      </c>
      <c r="L531" s="22" t="s">
        <v>688</v>
      </c>
      <c r="M531" s="2" t="s">
        <v>0</v>
      </c>
      <c r="N531" s="125" t="s">
        <v>639</v>
      </c>
      <c r="O531" s="126">
        <f>1.3*10^-17</f>
        <v>1.3000000000000002E-17</v>
      </c>
      <c r="P531" s="146">
        <v>1.3000000000000002E-17</v>
      </c>
      <c r="Q531" s="118" t="s">
        <v>1185</v>
      </c>
      <c r="R531" s="1"/>
      <c r="S531" s="119" t="s">
        <v>1290</v>
      </c>
      <c r="T531" s="119"/>
      <c r="U531" s="24" t="s">
        <v>1034</v>
      </c>
      <c r="V531" s="116" t="b">
        <f>OR(B531=$V$1,D531=$V$1,B531="2"&amp;$V$1)</f>
        <v>0</v>
      </c>
      <c r="W531" s="1" t="b">
        <f>OR(J531=$W$1,L531=$W$1,N531=$W$1,J531="2"&amp;$W$1,L531="2"&amp;$W$1,N531="2"&amp;$W$1)</f>
        <v>0</v>
      </c>
      <c r="Y531" s="25" t="str">
        <f>B531&amp;" + "&amp;D531&amp;IF(F531&lt;&gt;""," + "&amp;F531,"")&amp;"-&gt;"&amp;J531&amp;" + "&amp;L531&amp;IF(N531&lt;&gt;""," + "&amp;N531,"")</f>
        <v>N2(A3) + NO2-&gt;N2 + NO + O</v>
      </c>
      <c r="Z531" s="29">
        <f>O531</f>
        <v>1.3000000000000002E-17</v>
      </c>
    </row>
    <row r="532" spans="1:26" ht="22.5" customHeight="1" x14ac:dyDescent="0.25">
      <c r="A532" s="1" t="s">
        <v>533</v>
      </c>
      <c r="B532" s="1" t="s">
        <v>814</v>
      </c>
      <c r="C532" s="2" t="s">
        <v>0</v>
      </c>
      <c r="D532" s="22" t="s">
        <v>688</v>
      </c>
      <c r="E532" s="2"/>
      <c r="F532" s="22"/>
      <c r="G532" s="4" t="s">
        <v>7</v>
      </c>
      <c r="H532" s="112" t="s">
        <v>1559</v>
      </c>
      <c r="I532" s="4" t="s">
        <v>7</v>
      </c>
      <c r="J532" s="124" t="s">
        <v>1259</v>
      </c>
      <c r="K532" s="2"/>
      <c r="L532" s="22"/>
      <c r="M532" s="2"/>
      <c r="N532" s="125"/>
      <c r="O532" s="126">
        <f>6*10^-17</f>
        <v>6.0000000000000001E-17</v>
      </c>
      <c r="P532" s="146">
        <v>6.0000000000000001E-17</v>
      </c>
      <c r="Q532" s="118" t="s">
        <v>1179</v>
      </c>
      <c r="R532" s="1"/>
      <c r="S532" s="1" t="s">
        <v>1049</v>
      </c>
      <c r="T532" s="1"/>
      <c r="U532" s="24" t="s">
        <v>690</v>
      </c>
      <c r="V532" s="116" t="b">
        <f>OR(B532=$V$1,D532=$V$1,B532="2"&amp;$V$1)</f>
        <v>0</v>
      </c>
      <c r="W532" s="1" t="b">
        <f>OR(J532=$W$1,L532=$W$1,N532=$W$1,J532="2"&amp;$W$1,L532="2"&amp;$W$1,N532="2"&amp;$W$1)</f>
        <v>0</v>
      </c>
      <c r="Y532" s="25" t="str">
        <f>B532&amp;" + "&amp;D532&amp;IF(F532&lt;&gt;""," + "&amp;F532,"")&amp;"-&gt;"&amp;J532&amp;" + "&amp;L532&amp;IF(N532&lt;&gt;""," + "&amp;N532,"")</f>
        <v xml:space="preserve">N(2D) + NO-&gt;N2O + </v>
      </c>
      <c r="Z532" s="29">
        <f>O532</f>
        <v>6.0000000000000001E-17</v>
      </c>
    </row>
    <row r="533" spans="1:26" ht="22.5" customHeight="1" x14ac:dyDescent="0.25">
      <c r="A533" s="1" t="s">
        <v>534</v>
      </c>
      <c r="B533" s="1" t="s">
        <v>814</v>
      </c>
      <c r="C533" s="2" t="s">
        <v>0</v>
      </c>
      <c r="D533" s="22" t="s">
        <v>688</v>
      </c>
      <c r="E533" s="2"/>
      <c r="F533" s="3"/>
      <c r="G533" s="4" t="s">
        <v>7</v>
      </c>
      <c r="H533" s="112" t="s">
        <v>1559</v>
      </c>
      <c r="I533" s="4" t="s">
        <v>7</v>
      </c>
      <c r="J533" s="119" t="s">
        <v>639</v>
      </c>
      <c r="K533" s="2" t="s">
        <v>0</v>
      </c>
      <c r="L533" s="22" t="s">
        <v>689</v>
      </c>
      <c r="M533" s="2"/>
      <c r="N533" s="125"/>
      <c r="O533" s="126">
        <f>4.5*10^-17</f>
        <v>4.5000000000000004E-17</v>
      </c>
      <c r="P533" s="146">
        <v>4.5000000000000004E-17</v>
      </c>
      <c r="Q533" s="118" t="s">
        <v>1180</v>
      </c>
      <c r="R533" s="1"/>
      <c r="S533" s="1" t="s">
        <v>1049</v>
      </c>
      <c r="T533" s="1"/>
      <c r="U533" s="24" t="s">
        <v>1034</v>
      </c>
      <c r="V533" s="116" t="b">
        <f>OR(B533=$V$1,D533=$V$1,B533="2"&amp;$V$1)</f>
        <v>0</v>
      </c>
      <c r="W533" s="1" t="b">
        <f>OR(J533=$W$1,L533=$W$1,N533=$W$1,J533="2"&amp;$W$1,L533="2"&amp;$W$1,N533="2"&amp;$W$1)</f>
        <v>0</v>
      </c>
      <c r="Y533" s="25" t="str">
        <f>B533&amp;" + "&amp;D533&amp;IF(F533&lt;&gt;""," + "&amp;F533,"")&amp;"-&gt;"&amp;J533&amp;" + "&amp;L533&amp;IF(N533&lt;&gt;""," + "&amp;N533,"")</f>
        <v>N(2D) + NO-&gt;O + N2</v>
      </c>
      <c r="Z533" s="29">
        <f>O533</f>
        <v>4.5000000000000004E-17</v>
      </c>
    </row>
    <row r="534" spans="1:26" ht="22.5" customHeight="1" x14ac:dyDescent="0.25">
      <c r="A534" s="1" t="s">
        <v>1378</v>
      </c>
      <c r="B534" s="1" t="s">
        <v>1343</v>
      </c>
      <c r="C534" s="2" t="s">
        <v>0</v>
      </c>
      <c r="D534" s="22" t="s">
        <v>688</v>
      </c>
      <c r="E534" s="2"/>
      <c r="F534" s="22"/>
      <c r="G534" s="4" t="s">
        <v>7</v>
      </c>
      <c r="H534" s="112" t="s">
        <v>1559</v>
      </c>
      <c r="I534" s="4" t="s">
        <v>7</v>
      </c>
      <c r="J534" s="124" t="s">
        <v>1259</v>
      </c>
      <c r="K534" s="2"/>
      <c r="L534" s="22"/>
      <c r="M534" s="2"/>
      <c r="N534" s="125"/>
      <c r="O534" s="126">
        <f>1.35*10^-17</f>
        <v>1.3500000000000002E-17</v>
      </c>
      <c r="P534" s="146">
        <v>1.3500000000000002E-17</v>
      </c>
      <c r="Q534" s="118" t="s">
        <v>1344</v>
      </c>
      <c r="R534" s="1"/>
      <c r="S534" s="1" t="s">
        <v>1342</v>
      </c>
      <c r="T534" s="1"/>
      <c r="U534" s="24"/>
      <c r="V534" s="116" t="b">
        <f>OR(B534=$V$1,D534=$V$1,B534="2"&amp;$V$1)</f>
        <v>0</v>
      </c>
      <c r="W534" s="1" t="b">
        <f>OR(J534=$W$1,L534=$W$1,N534=$W$1,J534="2"&amp;$W$1,L534="2"&amp;$W$1,N534="2"&amp;$W$1)</f>
        <v>0</v>
      </c>
      <c r="Y534" s="25" t="str">
        <f>B534&amp;" + "&amp;D534&amp;IF(F534&lt;&gt;""," + "&amp;F534,"")&amp;"-&gt;"&amp;J534&amp;" + "&amp;L534&amp;IF(N534&lt;&gt;""," + "&amp;N534,"")</f>
        <v xml:space="preserve">N(2P) + NO-&gt;N2O + </v>
      </c>
      <c r="Z534" s="29">
        <f>O534</f>
        <v>1.3500000000000002E-17</v>
      </c>
    </row>
    <row r="535" spans="1:26" ht="22.5" customHeight="1" x14ac:dyDescent="0.25">
      <c r="A535" s="1" t="s">
        <v>1379</v>
      </c>
      <c r="B535" s="1" t="s">
        <v>1343</v>
      </c>
      <c r="C535" s="2" t="s">
        <v>0</v>
      </c>
      <c r="D535" s="22" t="s">
        <v>688</v>
      </c>
      <c r="E535" s="2"/>
      <c r="F535" s="3"/>
      <c r="G535" s="4" t="s">
        <v>7</v>
      </c>
      <c r="H535" s="112" t="s">
        <v>1559</v>
      </c>
      <c r="I535" s="4" t="s">
        <v>7</v>
      </c>
      <c r="J535" s="119" t="s">
        <v>639</v>
      </c>
      <c r="K535" s="2" t="s">
        <v>0</v>
      </c>
      <c r="L535" s="22" t="s">
        <v>689</v>
      </c>
      <c r="M535" s="2"/>
      <c r="N535" s="125"/>
      <c r="O535" s="126">
        <f>1.35*10^-17</f>
        <v>1.3500000000000002E-17</v>
      </c>
      <c r="P535" s="146">
        <v>1.3500000000000002E-17</v>
      </c>
      <c r="Q535" s="118" t="s">
        <v>1344</v>
      </c>
      <c r="R535" s="1"/>
      <c r="S535" s="1" t="s">
        <v>1342</v>
      </c>
      <c r="T535" s="1"/>
      <c r="U535" s="24"/>
      <c r="V535" s="116" t="b">
        <f>OR(B535=$V$1,D535=$V$1,B535="2"&amp;$V$1)</f>
        <v>0</v>
      </c>
      <c r="W535" s="1" t="b">
        <f>OR(J535=$W$1,L535=$W$1,N535=$W$1,J535="2"&amp;$W$1,L535="2"&amp;$W$1,N535="2"&amp;$W$1)</f>
        <v>0</v>
      </c>
      <c r="Y535" s="25" t="str">
        <f>B535&amp;" + "&amp;D535&amp;IF(F535&lt;&gt;""," + "&amp;F535,"")&amp;"-&gt;"&amp;J535&amp;" + "&amp;L535&amp;IF(N535&lt;&gt;""," + "&amp;N535,"")</f>
        <v>N(2P) + NO-&gt;O + N2</v>
      </c>
      <c r="Z535" s="29">
        <f>O535</f>
        <v>1.3500000000000002E-17</v>
      </c>
    </row>
    <row r="536" spans="1:26" ht="22.5" customHeight="1" x14ac:dyDescent="0.25">
      <c r="A536" s="1" t="s">
        <v>558</v>
      </c>
      <c r="B536" s="1" t="s">
        <v>639</v>
      </c>
      <c r="C536" s="2" t="s">
        <v>0</v>
      </c>
      <c r="D536" s="22" t="s">
        <v>739</v>
      </c>
      <c r="E536" s="2"/>
      <c r="F536" s="22"/>
      <c r="G536" s="4" t="s">
        <v>7</v>
      </c>
      <c r="H536" s="112" t="s">
        <v>1559</v>
      </c>
      <c r="I536" s="4" t="s">
        <v>7</v>
      </c>
      <c r="J536" s="119" t="s">
        <v>688</v>
      </c>
      <c r="K536" s="2" t="s">
        <v>0</v>
      </c>
      <c r="L536" s="1" t="s">
        <v>649</v>
      </c>
      <c r="M536" s="2"/>
      <c r="N536" s="125"/>
      <c r="O536" s="126">
        <f>6.5*10^-18*EXP(120/Tg)</f>
        <v>9.6585330726708503E-18</v>
      </c>
      <c r="P536" s="146">
        <v>9.6585330726708503E-18</v>
      </c>
      <c r="Q536" s="118" t="s">
        <v>1192</v>
      </c>
      <c r="R536" s="1"/>
      <c r="S536" s="119" t="s">
        <v>1290</v>
      </c>
      <c r="T536" s="119"/>
      <c r="U536" s="24" t="s">
        <v>1034</v>
      </c>
      <c r="V536" s="116" t="b">
        <f>OR(B536=$V$1,D536=$V$1,B536="2"&amp;$V$1)</f>
        <v>0</v>
      </c>
      <c r="W536" s="1" t="b">
        <f>OR(J536=$W$1,L536=$W$1,N536=$W$1,J536="2"&amp;$W$1,L536="2"&amp;$W$1,N536="2"&amp;$W$1)</f>
        <v>0</v>
      </c>
      <c r="Y536" s="25" t="str">
        <f>B536&amp;" + "&amp;D536&amp;IF(F536&lt;&gt;""," + "&amp;F536,"")&amp;"-&gt;"&amp;J536&amp;" + "&amp;L536&amp;IF(N536&lt;&gt;""," + "&amp;N536,"")</f>
        <v>O + NO2-&gt;NO + O2</v>
      </c>
      <c r="Z536" s="29">
        <f>O536</f>
        <v>9.6585330726708503E-18</v>
      </c>
    </row>
    <row r="537" spans="1:26" ht="22.5" customHeight="1" x14ac:dyDescent="0.25">
      <c r="A537" s="1" t="s">
        <v>568</v>
      </c>
      <c r="B537" s="1" t="s">
        <v>839</v>
      </c>
      <c r="C537" s="2" t="s">
        <v>0</v>
      </c>
      <c r="D537" s="22" t="s">
        <v>639</v>
      </c>
      <c r="E537" s="2"/>
      <c r="F537" s="3"/>
      <c r="G537" s="4" t="s">
        <v>7</v>
      </c>
      <c r="H537" s="112" t="s">
        <v>1559</v>
      </c>
      <c r="I537" s="4" t="s">
        <v>7</v>
      </c>
      <c r="J537" s="119" t="s">
        <v>1411</v>
      </c>
      <c r="K537" s="2"/>
      <c r="L537" s="22"/>
      <c r="M537" s="2"/>
      <c r="N537" s="125"/>
      <c r="O537" s="126">
        <f>8*10^-18</f>
        <v>8.0000000000000006E-18</v>
      </c>
      <c r="P537" s="146">
        <v>8.0000000000000006E-18</v>
      </c>
      <c r="Q537" s="118" t="s">
        <v>1201</v>
      </c>
      <c r="R537" s="1"/>
      <c r="S537" s="119" t="s">
        <v>1290</v>
      </c>
      <c r="T537" s="119"/>
      <c r="U537" s="24" t="s">
        <v>691</v>
      </c>
      <c r="V537" s="116" t="b">
        <f>OR(B537=$V$1,D537=$V$1,B537="2"&amp;$V$1)</f>
        <v>1</v>
      </c>
      <c r="W537" s="1" t="b">
        <f>OR(J537=$W$1,L537=$W$1,N537=$W$1,J537="2"&amp;$W$1,L537="2"&amp;$W$1,N537="2"&amp;$W$1)</f>
        <v>0</v>
      </c>
      <c r="Y537" s="25" t="str">
        <f>B537&amp;" + "&amp;D537&amp;IF(F537&lt;&gt;""," + "&amp;F537,"")&amp;"-&gt;"&amp;J537&amp;" + "&amp;L537&amp;IF(N537&lt;&gt;""," + "&amp;N537,"")</f>
        <v xml:space="preserve">O(1D) + O-&gt;2O + </v>
      </c>
      <c r="Z537" s="29">
        <f>O537</f>
        <v>8.0000000000000006E-18</v>
      </c>
    </row>
    <row r="538" spans="1:26" ht="22.5" customHeight="1" x14ac:dyDescent="0.25">
      <c r="A538" s="1" t="s">
        <v>546</v>
      </c>
      <c r="B538" s="1" t="s">
        <v>1482</v>
      </c>
      <c r="C538" s="2" t="s">
        <v>0</v>
      </c>
      <c r="D538" s="22" t="s">
        <v>639</v>
      </c>
      <c r="E538" s="2"/>
      <c r="F538" s="22"/>
      <c r="G538" s="4" t="s">
        <v>7</v>
      </c>
      <c r="H538" s="112" t="s">
        <v>1559</v>
      </c>
      <c r="I538" s="4" t="s">
        <v>7</v>
      </c>
      <c r="J538" s="119" t="s">
        <v>688</v>
      </c>
      <c r="K538" s="2" t="s">
        <v>0</v>
      </c>
      <c r="L538" s="22" t="s">
        <v>814</v>
      </c>
      <c r="M538" s="2"/>
      <c r="N538" s="125"/>
      <c r="O538" s="126">
        <f>7*10^-18</f>
        <v>6.9999999999999997E-18</v>
      </c>
      <c r="P538" s="146">
        <v>6.9999999999999997E-18</v>
      </c>
      <c r="Q538" s="118" t="s">
        <v>1187</v>
      </c>
      <c r="R538" s="1"/>
      <c r="S538" s="1" t="s">
        <v>1049</v>
      </c>
      <c r="T538" s="1"/>
      <c r="U538" s="24" t="s">
        <v>691</v>
      </c>
      <c r="V538" s="116" t="b">
        <f>OR(B538=$V$1,D538=$V$1,B538="2"&amp;$V$1)</f>
        <v>0</v>
      </c>
      <c r="W538" s="1" t="b">
        <f>OR(J538=$W$1,L538=$W$1,N538=$W$1,J538="2"&amp;$W$1,L538="2"&amp;$W$1,N538="2"&amp;$W$1)</f>
        <v>0</v>
      </c>
      <c r="Y538" s="25" t="str">
        <f>B538&amp;" + "&amp;D538&amp;IF(F538&lt;&gt;""," + "&amp;F538,"")&amp;"-&gt;"&amp;J538&amp;" + "&amp;L538&amp;IF(N538&lt;&gt;""," + "&amp;N538,"")</f>
        <v>N2(A3) + O-&gt;NO + N(2D)</v>
      </c>
      <c r="Z538" s="29">
        <f>O538</f>
        <v>6.9999999999999997E-18</v>
      </c>
    </row>
    <row r="539" spans="1:26" ht="22.5" customHeight="1" x14ac:dyDescent="0.25">
      <c r="A539" s="1" t="s">
        <v>537</v>
      </c>
      <c r="B539" s="1" t="s">
        <v>814</v>
      </c>
      <c r="C539" s="2" t="s">
        <v>0</v>
      </c>
      <c r="D539" s="1" t="s">
        <v>649</v>
      </c>
      <c r="E539" s="2"/>
      <c r="F539" s="22"/>
      <c r="G539" s="4" t="s">
        <v>7</v>
      </c>
      <c r="H539" s="112" t="s">
        <v>1559</v>
      </c>
      <c r="I539" s="4" t="s">
        <v>7</v>
      </c>
      <c r="J539" s="119" t="s">
        <v>688</v>
      </c>
      <c r="K539" s="2" t="s">
        <v>0</v>
      </c>
      <c r="L539" s="22" t="s">
        <v>839</v>
      </c>
      <c r="M539" s="2"/>
      <c r="N539" s="125"/>
      <c r="O539" s="126">
        <f>6*10^-18*(Tg/300)^0.5</f>
        <v>6.029925372672534E-18</v>
      </c>
      <c r="P539" s="146">
        <v>6.029925372672534E-18</v>
      </c>
      <c r="Q539" s="118" t="s">
        <v>1182</v>
      </c>
      <c r="R539" s="1"/>
      <c r="S539" s="1" t="s">
        <v>1049</v>
      </c>
      <c r="T539" s="1"/>
      <c r="U539" s="24" t="s">
        <v>690</v>
      </c>
      <c r="V539" s="116" t="b">
        <f>OR(B539=$V$1,D539=$V$1,B539="2"&amp;$V$1)</f>
        <v>0</v>
      </c>
      <c r="W539" s="1" t="b">
        <f>OR(J539=$W$1,L539=$W$1,N539=$W$1,J539="2"&amp;$W$1,L539="2"&amp;$W$1,N539="2"&amp;$W$1)</f>
        <v>0</v>
      </c>
      <c r="Y539" s="25" t="str">
        <f>B539&amp;" + "&amp;D539&amp;IF(F539&lt;&gt;""," + "&amp;F539,"")&amp;"-&gt;"&amp;J539&amp;" + "&amp;L539&amp;IF(N539&lt;&gt;""," + "&amp;N539,"")</f>
        <v>N(2D) + O2-&gt;NO + O(1D)</v>
      </c>
      <c r="Z539" s="29">
        <f>O539</f>
        <v>6.029925372672534E-18</v>
      </c>
    </row>
    <row r="540" spans="1:26" ht="22.5" customHeight="1" x14ac:dyDescent="0.25">
      <c r="A540" s="1" t="s">
        <v>538</v>
      </c>
      <c r="B540" s="1" t="s">
        <v>1482</v>
      </c>
      <c r="C540" s="2" t="s">
        <v>0</v>
      </c>
      <c r="D540" s="22" t="s">
        <v>689</v>
      </c>
      <c r="E540" s="2"/>
      <c r="F540" s="3"/>
      <c r="G540" s="4" t="s">
        <v>7</v>
      </c>
      <c r="H540" s="112" t="s">
        <v>1559</v>
      </c>
      <c r="I540" s="4" t="s">
        <v>7</v>
      </c>
      <c r="J540" s="122" t="s">
        <v>1417</v>
      </c>
      <c r="K540" s="2"/>
      <c r="L540" s="22"/>
      <c r="M540" s="2"/>
      <c r="N540" s="125"/>
      <c r="O540" s="126">
        <f>2.2*10^-20</f>
        <v>2.1999999999999999E-20</v>
      </c>
      <c r="P540" s="146">
        <v>2.1999999999999999E-20</v>
      </c>
      <c r="Q540" s="118" t="s">
        <v>1183</v>
      </c>
      <c r="R540" s="1"/>
      <c r="S540" s="119" t="s">
        <v>1290</v>
      </c>
      <c r="T540" s="119"/>
      <c r="U540" s="24" t="s">
        <v>1034</v>
      </c>
      <c r="V540" s="116" t="b">
        <f>OR(B540=$V$1,D540=$V$1,B540="2"&amp;$V$1)</f>
        <v>0</v>
      </c>
      <c r="W540" s="1" t="b">
        <f>OR(J540=$W$1,L540=$W$1,N540=$W$1,J540="2"&amp;$W$1,L540="2"&amp;$W$1,N540="2"&amp;$W$1)</f>
        <v>0</v>
      </c>
      <c r="Y540" s="25" t="str">
        <f>B540&amp;" + "&amp;D540&amp;IF(F540&lt;&gt;""," + "&amp;F540,"")&amp;"-&gt;"&amp;J540&amp;" + "&amp;L540&amp;IF(N540&lt;&gt;""," + "&amp;N540,"")</f>
        <v xml:space="preserve">N2(A3) + N2-&gt;2N2 + </v>
      </c>
      <c r="Z540" s="29">
        <f>O540</f>
        <v>2.1999999999999999E-20</v>
      </c>
    </row>
    <row r="541" spans="1:26" ht="22.5" customHeight="1" x14ac:dyDescent="0.25">
      <c r="A541" s="1" t="s">
        <v>539</v>
      </c>
      <c r="B541" s="1" t="s">
        <v>1483</v>
      </c>
      <c r="C541" s="2"/>
      <c r="D541" s="1"/>
      <c r="E541" s="2"/>
      <c r="F541" s="3"/>
      <c r="G541" s="4" t="s">
        <v>7</v>
      </c>
      <c r="H541" s="112" t="s">
        <v>1559</v>
      </c>
      <c r="I541" s="4" t="s">
        <v>7</v>
      </c>
      <c r="J541" s="1" t="s">
        <v>1338</v>
      </c>
      <c r="K541" s="2" t="s">
        <v>0</v>
      </c>
      <c r="L541" s="22" t="s">
        <v>689</v>
      </c>
      <c r="M541" s="2"/>
      <c r="N541" s="125"/>
      <c r="O541" s="126">
        <f>4*10^-16</f>
        <v>3.9999999999999999E-16</v>
      </c>
      <c r="P541" s="146">
        <v>3.9999999999999999E-16</v>
      </c>
      <c r="Q541" s="118" t="s">
        <v>1096</v>
      </c>
      <c r="R541" s="1"/>
      <c r="S541" s="1" t="s">
        <v>1050</v>
      </c>
      <c r="T541" s="1"/>
      <c r="U541" s="24" t="s">
        <v>1034</v>
      </c>
      <c r="V541" s="116" t="b">
        <f>OR(B541=$V$1,D541=$V$1,B541="2"&amp;$V$1)</f>
        <v>0</v>
      </c>
      <c r="W541" s="1" t="b">
        <f>OR(J541=$W$1,L541=$W$1,N541=$W$1,J541="2"&amp;$W$1,L541="2"&amp;$W$1,N541="2"&amp;$W$1)</f>
        <v>0</v>
      </c>
      <c r="Y541" s="25" t="str">
        <f>B541&amp;" + "&amp;D541&amp;IF(F541&lt;&gt;""," + "&amp;F541,"")&amp;"-&gt;"&amp;J541&amp;" + "&amp;L541&amp;IF(N541&lt;&gt;""," + "&amp;N541,"")</f>
        <v>2N2(A3) + -&gt;N2(esum) + N2</v>
      </c>
      <c r="Z541" s="29">
        <f>O541</f>
        <v>3.9999999999999999E-16</v>
      </c>
    </row>
    <row r="542" spans="1:26" ht="22.5" customHeight="1" x14ac:dyDescent="0.25">
      <c r="A542" s="1" t="s">
        <v>540</v>
      </c>
      <c r="B542" s="1" t="s">
        <v>1482</v>
      </c>
      <c r="C542" s="2" t="s">
        <v>0</v>
      </c>
      <c r="D542" s="22" t="s">
        <v>738</v>
      </c>
      <c r="E542" s="2"/>
      <c r="F542" s="3"/>
      <c r="G542" s="4" t="s">
        <v>7</v>
      </c>
      <c r="H542" s="112" t="s">
        <v>1559</v>
      </c>
      <c r="I542" s="4" t="s">
        <v>7</v>
      </c>
      <c r="J542" s="119" t="s">
        <v>639</v>
      </c>
      <c r="K542" s="2" t="s">
        <v>0</v>
      </c>
      <c r="L542" s="22" t="s">
        <v>1410</v>
      </c>
      <c r="M542" s="2"/>
      <c r="N542" s="125"/>
      <c r="O542" s="126">
        <f>8*10^-17</f>
        <v>8.0000000000000006E-17</v>
      </c>
      <c r="P542" s="146">
        <v>8.0000000000000006E-17</v>
      </c>
      <c r="Q542" s="118" t="s">
        <v>1184</v>
      </c>
      <c r="R542" s="1"/>
      <c r="S542" s="1" t="s">
        <v>1050</v>
      </c>
      <c r="T542" s="1"/>
      <c r="U542" s="24" t="s">
        <v>756</v>
      </c>
      <c r="V542" s="116" t="b">
        <f>OR(B542=$V$1,D542=$V$1,B542="2"&amp;$V$1)</f>
        <v>0</v>
      </c>
      <c r="W542" s="1" t="b">
        <f>OR(J542=$W$1,L542=$W$1,N542=$W$1,J542="2"&amp;$W$1,L542="2"&amp;$W$1,N542="2"&amp;$W$1)</f>
        <v>0</v>
      </c>
      <c r="X542" s="25" t="s">
        <v>1607</v>
      </c>
      <c r="Y542" s="25" t="str">
        <f>B542&amp;" + "&amp;D542&amp;IF(F542&lt;&gt;""," + "&amp;F542,"")&amp;"-&gt;"&amp;J542&amp;" + "&amp;L542&amp;IF(N542&lt;&gt;""," + "&amp;N542,"")</f>
        <v>N2(A3) + N2O-&gt;O + 2N2</v>
      </c>
      <c r="Z542" s="29">
        <f>O542</f>
        <v>8.0000000000000006E-17</v>
      </c>
    </row>
    <row r="543" spans="1:26" ht="22.5" customHeight="1" x14ac:dyDescent="0.25">
      <c r="A543" s="1" t="s">
        <v>619</v>
      </c>
      <c r="B543" s="1" t="s">
        <v>653</v>
      </c>
      <c r="C543" s="2" t="s">
        <v>0</v>
      </c>
      <c r="D543" s="22" t="s">
        <v>811</v>
      </c>
      <c r="E543" s="2"/>
      <c r="F543" s="22"/>
      <c r="G543" s="4" t="s">
        <v>7</v>
      </c>
      <c r="H543" s="112" t="s">
        <v>1559</v>
      </c>
      <c r="I543" s="4" t="s">
        <v>7</v>
      </c>
      <c r="J543" s="119" t="s">
        <v>688</v>
      </c>
      <c r="K543" s="2" t="s">
        <v>0</v>
      </c>
      <c r="L543" s="1" t="s">
        <v>699</v>
      </c>
      <c r="M543" s="2"/>
      <c r="N543" s="125"/>
      <c r="O543" s="126">
        <f>3*10^-17*EXP(-500/Tg)</f>
        <v>5.7605465949404938E-18</v>
      </c>
      <c r="P543" s="146">
        <v>5.7605465949404938E-18</v>
      </c>
      <c r="Q543" s="118" t="s">
        <v>1238</v>
      </c>
      <c r="R543" s="1"/>
      <c r="S543" s="1" t="s">
        <v>1049</v>
      </c>
      <c r="T543" s="1"/>
      <c r="U543" s="24" t="s">
        <v>1034</v>
      </c>
      <c r="V543" s="116" t="b">
        <f>OR(B543=$V$1,D543=$V$1,B543="2"&amp;$V$1)</f>
        <v>0</v>
      </c>
      <c r="W543" s="1" t="b">
        <f>OR(J543=$W$1,L543=$W$1,N543=$W$1,J543="2"&amp;$W$1,L543="2"&amp;$W$1,N543="2"&amp;$W$1)</f>
        <v>0</v>
      </c>
      <c r="Y543" s="25" t="str">
        <f>B543&amp;" + "&amp;D543&amp;IF(F543&lt;&gt;""," + "&amp;F543,"")&amp;"-&gt;"&amp;J543&amp;" + "&amp;L543&amp;IF(N543&lt;&gt;""," + "&amp;N543,"")</f>
        <v>H + HNO-&gt;NO + H2</v>
      </c>
      <c r="Z543" s="29">
        <f>O543</f>
        <v>5.7605465949404938E-18</v>
      </c>
    </row>
    <row r="544" spans="1:26" ht="22.5" customHeight="1" x14ac:dyDescent="0.25">
      <c r="A544" s="1" t="s">
        <v>1380</v>
      </c>
      <c r="B544" s="1" t="s">
        <v>1343</v>
      </c>
      <c r="C544" s="2" t="s">
        <v>0</v>
      </c>
      <c r="D544" s="1" t="s">
        <v>649</v>
      </c>
      <c r="F544" s="22"/>
      <c r="G544" s="4" t="s">
        <v>7</v>
      </c>
      <c r="H544" s="112" t="s">
        <v>1559</v>
      </c>
      <c r="I544" s="4" t="s">
        <v>7</v>
      </c>
      <c r="J544" s="119" t="s">
        <v>688</v>
      </c>
      <c r="K544" s="2" t="s">
        <v>0</v>
      </c>
      <c r="L544" s="22" t="s">
        <v>639</v>
      </c>
      <c r="M544" s="2"/>
      <c r="N544" s="125"/>
      <c r="O544" s="126">
        <f>3.1*10^-18*EXP(-60/Tg)</f>
        <v>2.5430961858883612E-18</v>
      </c>
      <c r="P544" s="146">
        <v>2.5430961858883612E-18</v>
      </c>
      <c r="Q544" s="118" t="s">
        <v>1500</v>
      </c>
      <c r="R544" s="1"/>
      <c r="S544" s="1" t="s">
        <v>1342</v>
      </c>
      <c r="T544" s="1"/>
      <c r="U544" s="24"/>
      <c r="V544" s="116" t="b">
        <f>OR(B544=$V$1,D544=$V$1,B544="2"&amp;$V$1)</f>
        <v>0</v>
      </c>
      <c r="W544" s="1" t="b">
        <f>OR(J544=$W$1,L544=$W$1,N544=$W$1,J544="2"&amp;$W$1,L544="2"&amp;$W$1,N544="2"&amp;$W$1)</f>
        <v>0</v>
      </c>
      <c r="Y544" s="25" t="str">
        <f>B544&amp;" + "&amp;D544&amp;IF(F544&lt;&gt;""," + "&amp;F544,"")&amp;"-&gt;"&amp;J544&amp;" + "&amp;L544&amp;IF(N544&lt;&gt;""," + "&amp;N544,"")</f>
        <v>N(2P) + O2-&gt;NO + O</v>
      </c>
      <c r="Z544" s="29">
        <f>O544</f>
        <v>2.5430961858883612E-18</v>
      </c>
    </row>
    <row r="545" spans="1:26" ht="22.5" customHeight="1" x14ac:dyDescent="0.25">
      <c r="A545" s="1" t="s">
        <v>543</v>
      </c>
      <c r="B545" s="1" t="s">
        <v>1482</v>
      </c>
      <c r="C545" s="2" t="s">
        <v>0</v>
      </c>
      <c r="D545" s="1" t="s">
        <v>649</v>
      </c>
      <c r="E545" s="2"/>
      <c r="F545" s="3"/>
      <c r="G545" s="4" t="s">
        <v>7</v>
      </c>
      <c r="H545" s="112" t="s">
        <v>1559</v>
      </c>
      <c r="I545" s="4" t="s">
        <v>7</v>
      </c>
      <c r="J545" s="124" t="s">
        <v>3</v>
      </c>
      <c r="K545" s="2" t="s">
        <v>0</v>
      </c>
      <c r="L545" s="22" t="s">
        <v>1411</v>
      </c>
      <c r="M545" s="2"/>
      <c r="N545" s="125"/>
      <c r="O545" s="126">
        <f>5*10^-18*EXP(-210/Tg)</f>
        <v>2.5001946916537049E-18</v>
      </c>
      <c r="P545" s="146">
        <v>2.5001946916537049E-18</v>
      </c>
      <c r="Q545" s="118" t="s">
        <v>1186</v>
      </c>
      <c r="R545" s="1"/>
      <c r="S545" s="1" t="s">
        <v>1050</v>
      </c>
      <c r="T545" s="1"/>
      <c r="U545" s="24" t="s">
        <v>1034</v>
      </c>
      <c r="V545" s="116" t="b">
        <f>OR(B545=$V$1,D545=$V$1,B545="2"&amp;$V$1)</f>
        <v>0</v>
      </c>
      <c r="W545" s="1" t="b">
        <f>OR(J545=$W$1,L545=$W$1,N545=$W$1,J545="2"&amp;$W$1,L545="2"&amp;$W$1,N545="2"&amp;$W$1)</f>
        <v>0</v>
      </c>
      <c r="Y545" s="25" t="str">
        <f>B545&amp;" + "&amp;D545&amp;IF(F545&lt;&gt;""," + "&amp;F545,"")&amp;"-&gt;"&amp;J545&amp;" + "&amp;L545&amp;IF(N545&lt;&gt;""," + "&amp;N545,"")</f>
        <v>N2(A3) + O2-&gt;N2 + 2O</v>
      </c>
      <c r="Z545" s="29">
        <f>O545</f>
        <v>2.5001946916537049E-18</v>
      </c>
    </row>
    <row r="546" spans="1:26" ht="22.5" customHeight="1" x14ac:dyDescent="0.25">
      <c r="A546" s="1" t="s">
        <v>544</v>
      </c>
      <c r="B546" s="1" t="s">
        <v>1482</v>
      </c>
      <c r="C546" s="2" t="s">
        <v>0</v>
      </c>
      <c r="D546" s="1" t="s">
        <v>649</v>
      </c>
      <c r="E546" s="2"/>
      <c r="F546" s="3"/>
      <c r="G546" s="4" t="s">
        <v>7</v>
      </c>
      <c r="H546" s="112" t="s">
        <v>1559</v>
      </c>
      <c r="I546" s="4" t="s">
        <v>7</v>
      </c>
      <c r="J546" s="119" t="s">
        <v>1490</v>
      </c>
      <c r="K546" s="2" t="s">
        <v>0</v>
      </c>
      <c r="L546" s="22" t="s">
        <v>689</v>
      </c>
      <c r="M546" s="2"/>
      <c r="N546" s="125"/>
      <c r="O546" s="126">
        <f>1*10^-18</f>
        <v>1.0000000000000001E-18</v>
      </c>
      <c r="P546" s="146">
        <v>1.0000000000000001E-18</v>
      </c>
      <c r="Q546" s="118" t="s">
        <v>1072</v>
      </c>
      <c r="R546" s="1"/>
      <c r="S546" s="1" t="s">
        <v>1049</v>
      </c>
      <c r="T546" s="1"/>
      <c r="U546" s="24" t="s">
        <v>756</v>
      </c>
      <c r="V546" s="116" t="b">
        <f>OR(B546=$V$1,D546=$V$1,B546="2"&amp;$V$1)</f>
        <v>0</v>
      </c>
      <c r="W546" s="1" t="b">
        <f>OR(J546=$W$1,L546=$W$1,N546=$W$1,J546="2"&amp;$W$1,L546="2"&amp;$W$1,N546="2"&amp;$W$1)</f>
        <v>0</v>
      </c>
      <c r="X546" s="25" t="s">
        <v>1607</v>
      </c>
      <c r="Y546" s="25" t="str">
        <f>B546&amp;" + "&amp;D546&amp;IF(F546&lt;&gt;""," + "&amp;F546,"")&amp;"-&gt;"&amp;J546&amp;" + "&amp;L546&amp;IF(N546&lt;&gt;""," + "&amp;N546,"")</f>
        <v>N2(A3) + O2-&gt;O2(a1) + N2</v>
      </c>
      <c r="Z546" s="29">
        <f>O546</f>
        <v>1.0000000000000001E-18</v>
      </c>
    </row>
    <row r="547" spans="1:26" ht="22.5" customHeight="1" x14ac:dyDescent="0.25">
      <c r="A547" s="1" t="s">
        <v>1501</v>
      </c>
      <c r="B547" s="1" t="s">
        <v>1482</v>
      </c>
      <c r="C547" s="2" t="s">
        <v>0</v>
      </c>
      <c r="D547" s="1" t="s">
        <v>649</v>
      </c>
      <c r="E547" s="2"/>
      <c r="F547" s="22"/>
      <c r="G547" s="4" t="s">
        <v>7</v>
      </c>
      <c r="H547" s="112" t="s">
        <v>1559</v>
      </c>
      <c r="I547" s="4" t="s">
        <v>7</v>
      </c>
      <c r="J547" s="124" t="s">
        <v>1259</v>
      </c>
      <c r="K547" s="2" t="s">
        <v>0</v>
      </c>
      <c r="L547" s="22" t="s">
        <v>639</v>
      </c>
      <c r="M547" s="2"/>
      <c r="N547" s="125"/>
      <c r="O547" s="126">
        <f>4.6*10^-21</f>
        <v>4.5999999999999992E-21</v>
      </c>
      <c r="P547" s="146">
        <v>4.5999999999999992E-21</v>
      </c>
      <c r="Q547" s="118" t="s">
        <v>1310</v>
      </c>
      <c r="R547" s="1"/>
      <c r="S547" s="1" t="s">
        <v>1283</v>
      </c>
      <c r="T547" s="1"/>
      <c r="U547" s="24"/>
      <c r="V547" s="116" t="b">
        <f>OR(B547=$V$1,D547=$V$1,B547="2"&amp;$V$1)</f>
        <v>0</v>
      </c>
      <c r="W547" s="1" t="b">
        <f>OR(J547=$W$1,L547=$W$1,N547=$W$1,J547="2"&amp;$W$1,L547="2"&amp;$W$1,N547="2"&amp;$W$1)</f>
        <v>0</v>
      </c>
      <c r="Y547" s="25" t="str">
        <f>B547&amp;" + "&amp;D547&amp;IF(F547&lt;&gt;""," + "&amp;F547,"")&amp;"-&gt;"&amp;J547&amp;" + "&amp;L547&amp;IF(N547&lt;&gt;""," + "&amp;N547,"")</f>
        <v>N2(A3) + O2-&gt;N2O + O</v>
      </c>
      <c r="Z547" s="29">
        <f>O547</f>
        <v>4.5999999999999992E-21</v>
      </c>
    </row>
    <row r="548" spans="1:26" ht="22.5" customHeight="1" x14ac:dyDescent="0.25">
      <c r="A548" s="1" t="s">
        <v>532</v>
      </c>
      <c r="B548" s="1" t="s">
        <v>814</v>
      </c>
      <c r="C548" s="2" t="s">
        <v>0</v>
      </c>
      <c r="D548" s="22" t="s">
        <v>738</v>
      </c>
      <c r="E548" s="2"/>
      <c r="F548" s="22"/>
      <c r="G548" s="4" t="s">
        <v>7</v>
      </c>
      <c r="H548" s="112" t="s">
        <v>1559</v>
      </c>
      <c r="I548" s="4" t="s">
        <v>7</v>
      </c>
      <c r="J548" s="124" t="s">
        <v>3</v>
      </c>
      <c r="K548" s="2" t="s">
        <v>0</v>
      </c>
      <c r="L548" s="22" t="s">
        <v>688</v>
      </c>
      <c r="M548" s="2"/>
      <c r="N548" s="125"/>
      <c r="O548" s="126">
        <f>1.5*10^-17*EXP(-570/Tg)</f>
        <v>2.2861337735878561E-18</v>
      </c>
      <c r="P548" s="146">
        <v>2.2861337735878561E-18</v>
      </c>
      <c r="Q548" s="118" t="s">
        <v>1178</v>
      </c>
      <c r="R548" s="1"/>
      <c r="S548" s="1" t="s">
        <v>1049</v>
      </c>
      <c r="T548" s="1"/>
      <c r="U548" s="24" t="s">
        <v>1034</v>
      </c>
      <c r="V548" s="116" t="b">
        <f>OR(B548=$V$1,D548=$V$1,B548="2"&amp;$V$1)</f>
        <v>0</v>
      </c>
      <c r="W548" s="1" t="b">
        <f>OR(J548=$W$1,L548=$W$1,N548=$W$1,J548="2"&amp;$W$1,L548="2"&amp;$W$1,N548="2"&amp;$W$1)</f>
        <v>0</v>
      </c>
      <c r="Y548" s="25" t="str">
        <f>B548&amp;" + "&amp;D548&amp;IF(F548&lt;&gt;""," + "&amp;F548,"")&amp;"-&gt;"&amp;J548&amp;" + "&amp;L548&amp;IF(N548&lt;&gt;""," + "&amp;N548,"")</f>
        <v>N(2D) + N2O-&gt;N2 + NO</v>
      </c>
      <c r="Z548" s="29">
        <f>O548</f>
        <v>2.2861337735878561E-18</v>
      </c>
    </row>
    <row r="549" spans="1:26" ht="22.5" customHeight="1" x14ac:dyDescent="0.25">
      <c r="A549" s="1" t="s">
        <v>545</v>
      </c>
      <c r="B549" s="1" t="s">
        <v>1482</v>
      </c>
      <c r="C549" s="2" t="s">
        <v>0</v>
      </c>
      <c r="D549" s="22" t="s">
        <v>636</v>
      </c>
      <c r="E549" s="2"/>
      <c r="F549" s="3"/>
      <c r="G549" s="4" t="s">
        <v>7</v>
      </c>
      <c r="H549" s="112" t="s">
        <v>1559</v>
      </c>
      <c r="I549" s="4" t="s">
        <v>7</v>
      </c>
      <c r="J549" s="119" t="s">
        <v>636</v>
      </c>
      <c r="K549" s="2" t="s">
        <v>0</v>
      </c>
      <c r="L549" s="22" t="s">
        <v>689</v>
      </c>
      <c r="M549" s="2"/>
      <c r="N549" s="125"/>
      <c r="O549" s="126">
        <f>5*10^-17</f>
        <v>5.0000000000000005E-17</v>
      </c>
      <c r="P549" s="146">
        <v>5.0000000000000005E-17</v>
      </c>
      <c r="Q549" s="118" t="s">
        <v>1100</v>
      </c>
      <c r="R549" s="1"/>
      <c r="S549" s="1" t="s">
        <v>1049</v>
      </c>
      <c r="T549" s="1"/>
      <c r="U549" s="24" t="s">
        <v>756</v>
      </c>
      <c r="V549" s="116" t="b">
        <f>OR(B549=$V$1,D549=$V$1,B549="2"&amp;$V$1)</f>
        <v>0</v>
      </c>
      <c r="W549" s="1" t="b">
        <f>OR(J549=$W$1,L549=$W$1,N549=$W$1,J549="2"&amp;$W$1,L549="2"&amp;$W$1,N549="2"&amp;$W$1)</f>
        <v>0</v>
      </c>
      <c r="X549" s="25" t="s">
        <v>1607</v>
      </c>
      <c r="Y549" s="25" t="str">
        <f>B549&amp;" + "&amp;D549&amp;IF(F549&lt;&gt;""," + "&amp;F549,"")&amp;"-&gt;"&amp;J549&amp;" + "&amp;L549&amp;IF(N549&lt;&gt;""," + "&amp;N549,"")</f>
        <v>N2(A3) + N-&gt;N + N2</v>
      </c>
      <c r="Z549" s="29">
        <f>O549</f>
        <v>5.0000000000000005E-17</v>
      </c>
    </row>
    <row r="550" spans="1:26" ht="22.5" customHeight="1" x14ac:dyDescent="0.25">
      <c r="A550" s="1" t="s">
        <v>536</v>
      </c>
      <c r="B550" s="1" t="s">
        <v>814</v>
      </c>
      <c r="C550" s="2" t="s">
        <v>0</v>
      </c>
      <c r="D550" s="1" t="s">
        <v>649</v>
      </c>
      <c r="E550" s="2"/>
      <c r="F550" s="22"/>
      <c r="G550" s="4" t="s">
        <v>7</v>
      </c>
      <c r="H550" s="112" t="s">
        <v>1559</v>
      </c>
      <c r="I550" s="4" t="s">
        <v>7</v>
      </c>
      <c r="J550" s="119" t="s">
        <v>688</v>
      </c>
      <c r="K550" s="2" t="s">
        <v>0</v>
      </c>
      <c r="L550" s="22" t="s">
        <v>639</v>
      </c>
      <c r="M550" s="2"/>
      <c r="N550" s="125"/>
      <c r="O550" s="126">
        <f>1.5*10^-18*(Tg/300)^0.5</f>
        <v>1.5074813431681335E-18</v>
      </c>
      <c r="P550" s="146">
        <v>1.5074813431681335E-18</v>
      </c>
      <c r="Q550" s="118" t="s">
        <v>1181</v>
      </c>
      <c r="R550" s="1"/>
      <c r="S550" s="1" t="s">
        <v>1049</v>
      </c>
      <c r="T550" s="1"/>
      <c r="U550" s="24" t="s">
        <v>690</v>
      </c>
      <c r="V550" s="116" t="b">
        <f>OR(B550=$V$1,D550=$V$1,B550="2"&amp;$V$1)</f>
        <v>0</v>
      </c>
      <c r="W550" s="1" t="b">
        <f>OR(J550=$W$1,L550=$W$1,N550=$W$1,J550="2"&amp;$W$1,L550="2"&amp;$W$1,N550="2"&amp;$W$1)</f>
        <v>0</v>
      </c>
      <c r="Y550" s="25" t="str">
        <f>B550&amp;" + "&amp;D550&amp;IF(F550&lt;&gt;""," + "&amp;F550,"")&amp;"-&gt;"&amp;J550&amp;" + "&amp;L550&amp;IF(N550&lt;&gt;""," + "&amp;N550,"")</f>
        <v>N(2D) + O2-&gt;NO + O</v>
      </c>
      <c r="Z550" s="29">
        <f>O550</f>
        <v>1.5074813431681335E-18</v>
      </c>
    </row>
    <row r="551" spans="1:26" ht="22.5" customHeight="1" x14ac:dyDescent="0.25">
      <c r="A551" s="1" t="s">
        <v>562</v>
      </c>
      <c r="B551" s="1" t="s">
        <v>639</v>
      </c>
      <c r="C551" s="2" t="s">
        <v>0</v>
      </c>
      <c r="D551" s="22" t="s">
        <v>654</v>
      </c>
      <c r="E551" s="2"/>
      <c r="F551" s="3"/>
      <c r="G551" s="4" t="s">
        <v>7</v>
      </c>
      <c r="H551" s="112" t="s">
        <v>1559</v>
      </c>
      <c r="I551" s="4" t="s">
        <v>7</v>
      </c>
      <c r="J551" s="119" t="s">
        <v>653</v>
      </c>
      <c r="K551" s="2" t="s">
        <v>0</v>
      </c>
      <c r="L551" s="1" t="s">
        <v>649</v>
      </c>
      <c r="M551" s="2"/>
      <c r="N551" s="125"/>
      <c r="O551" s="130">
        <f>2.2*10^-17*EXP(-350/Tg)</f>
        <v>6.9304652168495732E-18</v>
      </c>
      <c r="P551" s="148">
        <v>6.9304652168495732E-18</v>
      </c>
      <c r="Q551" s="118" t="s">
        <v>1196</v>
      </c>
      <c r="R551" s="1"/>
      <c r="S551" s="1" t="s">
        <v>1049</v>
      </c>
      <c r="T551" s="1"/>
      <c r="U551" s="24" t="s">
        <v>691</v>
      </c>
      <c r="V551" s="116" t="b">
        <f>OR(B551=$V$1,D551=$V$1,B551="2"&amp;$V$1)</f>
        <v>0</v>
      </c>
      <c r="W551" s="1" t="b">
        <f>OR(J551=$W$1,L551=$W$1,N551=$W$1,J551="2"&amp;$W$1,L551="2"&amp;$W$1,N551="2"&amp;$W$1)</f>
        <v>0</v>
      </c>
      <c r="Y551" s="25" t="str">
        <f>B551&amp;" + "&amp;D551&amp;IF(F551&lt;&gt;""," + "&amp;F551,"")&amp;"-&gt;"&amp;J551&amp;" + "&amp;L551&amp;IF(N551&lt;&gt;""," + "&amp;N551,"")</f>
        <v>O + OH-&gt;H + O2</v>
      </c>
      <c r="Z551" s="29">
        <f>O551</f>
        <v>6.9304652168495732E-18</v>
      </c>
    </row>
    <row r="552" spans="1:26" ht="22.5" customHeight="1" x14ac:dyDescent="0.25">
      <c r="A552" s="1" t="s">
        <v>548</v>
      </c>
      <c r="B552" s="1" t="s">
        <v>1482</v>
      </c>
      <c r="C552" s="2" t="s">
        <v>0</v>
      </c>
      <c r="D552" s="3" t="s">
        <v>641</v>
      </c>
      <c r="E552" s="120"/>
      <c r="F552" s="22"/>
      <c r="G552" s="4" t="s">
        <v>7</v>
      </c>
      <c r="H552" s="112" t="s">
        <v>1559</v>
      </c>
      <c r="I552" s="4" t="s">
        <v>7</v>
      </c>
      <c r="J552" s="119" t="s">
        <v>653</v>
      </c>
      <c r="K552" s="2" t="s">
        <v>0</v>
      </c>
      <c r="L552" s="22" t="s">
        <v>654</v>
      </c>
      <c r="M552" s="2" t="s">
        <v>0</v>
      </c>
      <c r="N552" s="125" t="s">
        <v>689</v>
      </c>
      <c r="O552" s="130">
        <f>5*10^-20</f>
        <v>4.9999999999999999E-20</v>
      </c>
      <c r="P552" s="148">
        <v>4.9999999999999999E-20</v>
      </c>
      <c r="Q552" s="118" t="s">
        <v>1188</v>
      </c>
      <c r="R552" s="1"/>
      <c r="S552" s="1" t="s">
        <v>1049</v>
      </c>
      <c r="T552" s="1"/>
      <c r="U552" s="24" t="s">
        <v>691</v>
      </c>
      <c r="V552" s="116" t="b">
        <f>OR(B552=$V$1,D552=$V$1,B552="2"&amp;$V$1)</f>
        <v>0</v>
      </c>
      <c r="W552" s="1" t="b">
        <f>OR(J552=$W$1,L552=$W$1,N552=$W$1,J552="2"&amp;$W$1,L552="2"&amp;$W$1,N552="2"&amp;$W$1)</f>
        <v>0</v>
      </c>
      <c r="Y552" s="25" t="str">
        <f>B552&amp;" + "&amp;D552&amp;IF(F552&lt;&gt;""," + "&amp;F552,"")&amp;"-&gt;"&amp;J552&amp;" + "&amp;L552&amp;IF(N552&lt;&gt;""," + "&amp;N552,"")</f>
        <v>N2(A3) + H2O-&gt;H + OH + N2</v>
      </c>
      <c r="Z552" s="29">
        <f>O552</f>
        <v>4.9999999999999999E-20</v>
      </c>
    </row>
    <row r="553" spans="1:26" ht="22.5" customHeight="1" x14ac:dyDescent="0.25">
      <c r="A553" s="1" t="s">
        <v>549</v>
      </c>
      <c r="B553" s="1" t="s">
        <v>1338</v>
      </c>
      <c r="C553" s="2" t="s">
        <v>0</v>
      </c>
      <c r="D553" s="22" t="s">
        <v>689</v>
      </c>
      <c r="E553" s="4"/>
      <c r="F553" s="3"/>
      <c r="G553" s="4" t="s">
        <v>7</v>
      </c>
      <c r="H553" s="112" t="s">
        <v>1559</v>
      </c>
      <c r="I553" s="4" t="s">
        <v>7</v>
      </c>
      <c r="J553" s="1" t="s">
        <v>1482</v>
      </c>
      <c r="K553" s="2" t="s">
        <v>0</v>
      </c>
      <c r="L553" s="22" t="s">
        <v>689</v>
      </c>
      <c r="M553" s="2"/>
      <c r="N553" s="125"/>
      <c r="O553" s="126">
        <f>5*10^-17</f>
        <v>5.0000000000000005E-17</v>
      </c>
      <c r="P553" s="146">
        <v>5.0000000000000005E-17</v>
      </c>
      <c r="Q553" s="118" t="s">
        <v>1100</v>
      </c>
      <c r="R553" s="1"/>
      <c r="S553" s="1" t="s">
        <v>1049</v>
      </c>
      <c r="T553" s="1"/>
      <c r="U553" s="24" t="s">
        <v>690</v>
      </c>
      <c r="V553" s="116" t="b">
        <f>OR(B553=$V$1,D553=$V$1,B553="2"&amp;$V$1)</f>
        <v>0</v>
      </c>
      <c r="W553" s="1" t="b">
        <f>OR(J553=$W$1,L553=$W$1,N553=$W$1,J553="2"&amp;$W$1,L553="2"&amp;$W$1,N553="2"&amp;$W$1)</f>
        <v>0</v>
      </c>
      <c r="X553" s="25" t="s">
        <v>1607</v>
      </c>
      <c r="Y553" s="25" t="str">
        <f>B553&amp;" + "&amp;D553&amp;IF(F553&lt;&gt;""," + "&amp;F553,"")&amp;"-&gt;"&amp;J553&amp;" + "&amp;L553&amp;IF(N553&lt;&gt;""," + "&amp;N553,"")</f>
        <v>N2(esum) + N2-&gt;N2(A3) + N2</v>
      </c>
      <c r="Z553" s="29">
        <f>O553</f>
        <v>5.0000000000000005E-17</v>
      </c>
    </row>
    <row r="554" spans="1:26" ht="22.5" customHeight="1" x14ac:dyDescent="0.25">
      <c r="A554" s="1"/>
      <c r="B554" s="1" t="s">
        <v>1338</v>
      </c>
      <c r="C554" s="2" t="s">
        <v>0</v>
      </c>
      <c r="D554" s="22" t="s">
        <v>3</v>
      </c>
      <c r="E554" s="4"/>
      <c r="F554" s="3"/>
      <c r="G554" s="4" t="s">
        <v>7</v>
      </c>
      <c r="H554" s="112" t="s">
        <v>1559</v>
      </c>
      <c r="I554" s="4" t="s">
        <v>7</v>
      </c>
      <c r="J554" s="22" t="s">
        <v>3</v>
      </c>
      <c r="K554" s="2" t="s">
        <v>0</v>
      </c>
      <c r="L554" s="22" t="s">
        <v>3</v>
      </c>
      <c r="M554" s="2"/>
      <c r="N554" s="125"/>
      <c r="O554" s="126">
        <f>2.7*10^-17</f>
        <v>2.7000000000000004E-17</v>
      </c>
      <c r="P554" s="146"/>
      <c r="Q554" s="118" t="s">
        <v>1665</v>
      </c>
      <c r="R554" s="1"/>
      <c r="S554" s="1"/>
      <c r="T554" s="1"/>
      <c r="U554" s="24" t="s">
        <v>756</v>
      </c>
      <c r="V554" s="116" t="b">
        <f>OR(B554=$V$1,D554=$V$1,B554="2"&amp;$V$1)</f>
        <v>0</v>
      </c>
      <c r="W554" s="1" t="b">
        <f>OR(J554=$W$1,L554=$W$1,N554=$W$1,J554="2"&amp;$W$1,L554="2"&amp;$W$1,N554="2"&amp;$W$1)</f>
        <v>0</v>
      </c>
      <c r="X554" s="25" t="s">
        <v>1607</v>
      </c>
      <c r="Y554" s="25" t="str">
        <f>B554&amp;" + "&amp;D554&amp;IF(F554&lt;&gt;""," + "&amp;F554,"")&amp;"-&gt;"&amp;J554&amp;" + "&amp;L554&amp;IF(N554&lt;&gt;""," + "&amp;N554,"")</f>
        <v>N2(esum) + N2-&gt;N2 + N2</v>
      </c>
      <c r="Z554" s="29">
        <f>O554</f>
        <v>2.7000000000000004E-17</v>
      </c>
    </row>
    <row r="555" spans="1:26" ht="22.5" customHeight="1" x14ac:dyDescent="0.25">
      <c r="A555" s="1" t="s">
        <v>552</v>
      </c>
      <c r="B555" s="1" t="s">
        <v>1338</v>
      </c>
      <c r="C555" s="2" t="s">
        <v>0</v>
      </c>
      <c r="D555" s="1" t="s">
        <v>649</v>
      </c>
      <c r="E555" s="2"/>
      <c r="F555" s="3"/>
      <c r="G555" s="4" t="s">
        <v>7</v>
      </c>
      <c r="H555" s="112" t="s">
        <v>1559</v>
      </c>
      <c r="I555" s="4" t="s">
        <v>7</v>
      </c>
      <c r="J555" s="124" t="s">
        <v>3</v>
      </c>
      <c r="K555" s="2" t="s">
        <v>0</v>
      </c>
      <c r="L555" s="22" t="s">
        <v>1411</v>
      </c>
      <c r="M555" s="2"/>
      <c r="N555" s="125"/>
      <c r="O555" s="126">
        <f>3*10^-16</f>
        <v>2.9999999999999999E-16</v>
      </c>
      <c r="P555" s="146">
        <v>2.9999999999999999E-16</v>
      </c>
      <c r="Q555" s="118" t="s">
        <v>1076</v>
      </c>
      <c r="R555" s="1"/>
      <c r="S555" s="1" t="s">
        <v>1050</v>
      </c>
      <c r="T555" s="1"/>
      <c r="U555" s="24" t="s">
        <v>690</v>
      </c>
      <c r="V555" s="116" t="b">
        <f>OR(B555=$V$1,D555=$V$1,B555="2"&amp;$V$1)</f>
        <v>0</v>
      </c>
      <c r="W555" s="1" t="b">
        <f>OR(J555=$W$1,L555=$W$1,N555=$W$1,J555="2"&amp;$W$1,L555="2"&amp;$W$1,N555="2"&amp;$W$1)</f>
        <v>0</v>
      </c>
      <c r="X555" s="25" t="s">
        <v>1607</v>
      </c>
      <c r="Y555" s="25" t="str">
        <f>B555&amp;" + "&amp;D555&amp;IF(F555&lt;&gt;""," + "&amp;F555,"")&amp;"-&gt;"&amp;J555&amp;" + "&amp;L555&amp;IF(N555&lt;&gt;""," + "&amp;N555,"")</f>
        <v>N2(esum) + O2-&gt;N2 + 2O</v>
      </c>
      <c r="Z555" s="29">
        <f>O555</f>
        <v>2.9999999999999999E-16</v>
      </c>
    </row>
    <row r="556" spans="1:26" ht="22.5" customHeight="1" x14ac:dyDescent="0.25">
      <c r="A556" s="1" t="s">
        <v>557</v>
      </c>
      <c r="B556" s="1" t="s">
        <v>639</v>
      </c>
      <c r="C556" s="2" t="s">
        <v>0</v>
      </c>
      <c r="D556" s="22" t="s">
        <v>688</v>
      </c>
      <c r="E556" s="2" t="s">
        <v>0</v>
      </c>
      <c r="F556" s="22" t="s">
        <v>687</v>
      </c>
      <c r="G556" s="4" t="s">
        <v>7</v>
      </c>
      <c r="H556" s="112" t="s">
        <v>1631</v>
      </c>
      <c r="I556" s="4" t="s">
        <v>7</v>
      </c>
      <c r="J556" s="124" t="s">
        <v>1261</v>
      </c>
      <c r="K556" s="2" t="s">
        <v>0</v>
      </c>
      <c r="L556" s="22" t="s">
        <v>687</v>
      </c>
      <c r="M556" s="2"/>
      <c r="N556" s="125"/>
      <c r="O556" s="126">
        <f>1*10^-43*(300/Tg)^1.6*NM</f>
        <v>2.6573549374422369E-18</v>
      </c>
      <c r="P556" s="146">
        <v>2.6573549374422369E-18</v>
      </c>
      <c r="Q556" s="118" t="s">
        <v>1191</v>
      </c>
      <c r="R556" s="1"/>
      <c r="S556" s="119" t="s">
        <v>1290</v>
      </c>
      <c r="T556" s="119"/>
      <c r="U556" s="24" t="s">
        <v>1034</v>
      </c>
      <c r="V556" s="116" t="b">
        <f>OR(B556=$V$1,D556=$V$1,B556="2"&amp;$V$1)</f>
        <v>0</v>
      </c>
      <c r="W556" s="1" t="b">
        <f>OR(J556=$W$1,L556=$W$1,N556=$W$1,J556="2"&amp;$W$1,L556="2"&amp;$W$1,N556="2"&amp;$W$1)</f>
        <v>1</v>
      </c>
      <c r="Y556" s="25" t="str">
        <f>B556&amp;" + "&amp;D556&amp;IF(F556&lt;&gt;""," + "&amp;F556,"")&amp;"-&gt;"&amp;J556&amp;" + "&amp;L556&amp;IF(N556&lt;&gt;""," + "&amp;N556,"")</f>
        <v>O + NO + M-&gt;NO2 + M</v>
      </c>
      <c r="Z556" s="29">
        <f>O556</f>
        <v>2.6573549374422369E-18</v>
      </c>
    </row>
    <row r="557" spans="1:26" ht="22.5" customHeight="1" x14ac:dyDescent="0.25">
      <c r="A557" s="1" t="s">
        <v>559</v>
      </c>
      <c r="B557" s="1" t="s">
        <v>639</v>
      </c>
      <c r="C557" s="2" t="s">
        <v>0</v>
      </c>
      <c r="D557" s="22" t="s">
        <v>739</v>
      </c>
      <c r="E557" s="2" t="s">
        <v>0</v>
      </c>
      <c r="F557" s="22" t="s">
        <v>687</v>
      </c>
      <c r="G557" s="4" t="s">
        <v>7</v>
      </c>
      <c r="H557" s="112" t="s">
        <v>1631</v>
      </c>
      <c r="I557" s="4" t="s">
        <v>7</v>
      </c>
      <c r="J557" s="124" t="s">
        <v>1263</v>
      </c>
      <c r="K557" s="2" t="s">
        <v>0</v>
      </c>
      <c r="L557" s="22" t="s">
        <v>687</v>
      </c>
      <c r="M557" s="2"/>
      <c r="N557" s="125"/>
      <c r="O557" s="126">
        <f>9*10^-44*(300/Tg)^2*NM</f>
        <v>2.3821194000588178E-18</v>
      </c>
      <c r="P557" s="146">
        <v>2.3821194000588178E-18</v>
      </c>
      <c r="Q557" s="118" t="s">
        <v>1193</v>
      </c>
      <c r="R557" s="1"/>
      <c r="S557" s="119" t="s">
        <v>1290</v>
      </c>
      <c r="T557" s="119"/>
      <c r="U557" s="24" t="s">
        <v>1034</v>
      </c>
      <c r="V557" s="116" t="b">
        <f>OR(B557=$V$1,D557=$V$1,B557="2"&amp;$V$1)</f>
        <v>0</v>
      </c>
      <c r="W557" s="1" t="b">
        <f>OR(J557=$W$1,L557=$W$1,N557=$W$1,J557="2"&amp;$W$1,L557="2"&amp;$W$1,N557="2"&amp;$W$1)</f>
        <v>0</v>
      </c>
      <c r="Y557" s="25" t="str">
        <f>B557&amp;" + "&amp;D557&amp;IF(F557&lt;&gt;""," + "&amp;F557,"")&amp;"-&gt;"&amp;J557&amp;" + "&amp;L557&amp;IF(N557&lt;&gt;""," + "&amp;N557,"")</f>
        <v>O + NO2 + M-&gt;NO3 + M</v>
      </c>
      <c r="Z557" s="29">
        <f>O557</f>
        <v>2.3821194000588178E-18</v>
      </c>
    </row>
    <row r="558" spans="1:26" ht="22.5" hidden="1" customHeight="1" x14ac:dyDescent="0.25">
      <c r="A558" s="1" t="s">
        <v>111</v>
      </c>
      <c r="B558" s="1" t="s">
        <v>1392</v>
      </c>
      <c r="C558" s="2" t="s">
        <v>0</v>
      </c>
      <c r="D558" s="22" t="s">
        <v>639</v>
      </c>
      <c r="E558" s="2"/>
      <c r="F558" s="3"/>
      <c r="G558" s="4" t="s">
        <v>7</v>
      </c>
      <c r="H558" s="112" t="s">
        <v>1556</v>
      </c>
      <c r="I558" s="4" t="s">
        <v>7</v>
      </c>
      <c r="J558" s="124" t="s">
        <v>1263</v>
      </c>
      <c r="K558" s="2" t="s">
        <v>0</v>
      </c>
      <c r="L558" s="22" t="s">
        <v>1</v>
      </c>
      <c r="M558" s="2"/>
      <c r="N558" s="125"/>
      <c r="O558" s="126">
        <f>1*10^-18</f>
        <v>1.0000000000000001E-18</v>
      </c>
      <c r="P558" s="146">
        <v>1.0000000000000001E-18</v>
      </c>
      <c r="Q558" s="118" t="s">
        <v>1072</v>
      </c>
      <c r="R558" s="1"/>
      <c r="S558" s="1" t="s">
        <v>1049</v>
      </c>
      <c r="T558" s="1"/>
      <c r="U558" s="24" t="s">
        <v>690</v>
      </c>
      <c r="V558" s="116" t="b">
        <f>OR(B558=$V$1,D558=$V$1,B558="2"&amp;$V$1)</f>
        <v>0</v>
      </c>
      <c r="W558" s="1" t="b">
        <f>OR(J558=$W$1,L558=$W$1,N558=$W$1,J558="2"&amp;$W$1,L558="2"&amp;$W$1,N558="2"&amp;$W$1)</f>
        <v>0</v>
      </c>
      <c r="Y558" s="25" t="str">
        <f>B558&amp;" + "&amp;D558&amp;IF(F558&lt;&gt;""," + "&amp;F558,"")&amp;"-&gt;"&amp;J558&amp;" + "&amp;L558&amp;IF(N558&lt;&gt;""," + "&amp;N558,"")</f>
        <v>NO2- + O-&gt;NO3 + e</v>
      </c>
      <c r="Z558" s="29">
        <f>O558</f>
        <v>1.0000000000000001E-18</v>
      </c>
    </row>
    <row r="559" spans="1:26" ht="22.5" hidden="1" customHeight="1" x14ac:dyDescent="0.25">
      <c r="A559" s="1" t="s">
        <v>113</v>
      </c>
      <c r="B559" s="1" t="s">
        <v>1391</v>
      </c>
      <c r="C559" s="2" t="s">
        <v>0</v>
      </c>
      <c r="D559" s="22" t="s">
        <v>639</v>
      </c>
      <c r="E559" s="2"/>
      <c r="F559" s="3"/>
      <c r="G559" s="4" t="s">
        <v>7</v>
      </c>
      <c r="H559" s="112" t="s">
        <v>1556</v>
      </c>
      <c r="I559" s="4" t="s">
        <v>7</v>
      </c>
      <c r="J559" s="124" t="s">
        <v>1261</v>
      </c>
      <c r="K559" s="2" t="s">
        <v>0</v>
      </c>
      <c r="L559" s="22" t="s">
        <v>649</v>
      </c>
      <c r="M559" s="2" t="s">
        <v>0</v>
      </c>
      <c r="N559" s="125" t="s">
        <v>1</v>
      </c>
      <c r="O559" s="126">
        <f>1*10^-18</f>
        <v>1.0000000000000001E-18</v>
      </c>
      <c r="P559" s="146">
        <v>1.0000000000000001E-18</v>
      </c>
      <c r="Q559" s="118" t="s">
        <v>1072</v>
      </c>
      <c r="R559" s="1"/>
      <c r="S559" s="1" t="s">
        <v>1049</v>
      </c>
      <c r="T559" s="1"/>
      <c r="U559" s="24" t="s">
        <v>755</v>
      </c>
      <c r="V559" s="116" t="b">
        <f>OR(B559=$V$1,D559=$V$1,B559="2"&amp;$V$1)</f>
        <v>0</v>
      </c>
      <c r="W559" s="1" t="b">
        <f>OR(J559=$W$1,L559=$W$1,N559=$W$1,J559="2"&amp;$W$1,L559="2"&amp;$W$1,N559="2"&amp;$W$1)</f>
        <v>1</v>
      </c>
      <c r="Y559" s="25" t="str">
        <f>B559&amp;" + "&amp;D559&amp;IF(F559&lt;&gt;""," + "&amp;F559,"")&amp;"-&gt;"&amp;J559&amp;" + "&amp;L559&amp;IF(N559&lt;&gt;""," + "&amp;N559,"")</f>
        <v>NO3- + O-&gt;NO2 + O2 + e</v>
      </c>
      <c r="Z559" s="29">
        <f>O559</f>
        <v>1.0000000000000001E-18</v>
      </c>
    </row>
    <row r="560" spans="1:26" ht="22.5" hidden="1" customHeight="1" x14ac:dyDescent="0.25">
      <c r="A560" s="1" t="s">
        <v>127</v>
      </c>
      <c r="B560" s="1" t="s">
        <v>675</v>
      </c>
      <c r="C560" s="2" t="s">
        <v>0</v>
      </c>
      <c r="D560" s="1" t="s">
        <v>639</v>
      </c>
      <c r="E560" s="2"/>
      <c r="F560" s="3"/>
      <c r="G560" s="4" t="s">
        <v>7</v>
      </c>
      <c r="H560" s="112" t="s">
        <v>1557</v>
      </c>
      <c r="I560" s="4" t="s">
        <v>7</v>
      </c>
      <c r="J560" s="119" t="s">
        <v>650</v>
      </c>
      <c r="K560" s="2" t="s">
        <v>0</v>
      </c>
      <c r="L560" s="22" t="s">
        <v>636</v>
      </c>
      <c r="M560" s="22"/>
      <c r="N560" s="125"/>
      <c r="O560" s="126">
        <f>1*10^-18</f>
        <v>1.0000000000000001E-18</v>
      </c>
      <c r="P560" s="146">
        <v>1.0000000000000001E-18</v>
      </c>
      <c r="Q560" s="118" t="s">
        <v>1072</v>
      </c>
      <c r="R560" s="1"/>
      <c r="S560" s="1" t="s">
        <v>1049</v>
      </c>
      <c r="T560" s="1"/>
      <c r="U560" s="24" t="s">
        <v>691</v>
      </c>
      <c r="V560" s="116" t="b">
        <f>OR(B560=$V$1,D560=$V$1,B560="2"&amp;$V$1)</f>
        <v>0</v>
      </c>
      <c r="W560" s="1" t="b">
        <f>OR(J560=$W$1,L560=$W$1,N560=$W$1,J560="2"&amp;$W$1,L560="2"&amp;$W$1,N560="2"&amp;$W$1)</f>
        <v>0</v>
      </c>
      <c r="X560" s="25" t="s">
        <v>1607</v>
      </c>
      <c r="Y560" s="25" t="str">
        <f>B560&amp;" + "&amp;D560&amp;IF(F560&lt;&gt;""," + "&amp;F560,"")&amp;"-&gt;"&amp;J560&amp;" + "&amp;L560&amp;IF(N560&lt;&gt;""," + "&amp;N560,"")</f>
        <v>N+ + O-&gt;O+ + N</v>
      </c>
      <c r="Z560" s="29">
        <f>O560</f>
        <v>1.0000000000000001E-18</v>
      </c>
    </row>
    <row r="561" spans="1:26" ht="22.5" customHeight="1" x14ac:dyDescent="0.25">
      <c r="A561" s="1" t="s">
        <v>535</v>
      </c>
      <c r="B561" s="1" t="s">
        <v>814</v>
      </c>
      <c r="C561" s="2" t="s">
        <v>0</v>
      </c>
      <c r="D561" s="1" t="s">
        <v>639</v>
      </c>
      <c r="E561" s="2"/>
      <c r="F561" s="3"/>
      <c r="G561" s="4" t="s">
        <v>7</v>
      </c>
      <c r="H561" s="112" t="s">
        <v>1559</v>
      </c>
      <c r="I561" s="4" t="s">
        <v>7</v>
      </c>
      <c r="J561" s="119" t="s">
        <v>636</v>
      </c>
      <c r="K561" s="2" t="s">
        <v>0</v>
      </c>
      <c r="L561" s="22" t="s">
        <v>639</v>
      </c>
      <c r="M561" s="2"/>
      <c r="N561" s="125"/>
      <c r="O561" s="126">
        <f>7*10^-19</f>
        <v>6.9999999999999993E-19</v>
      </c>
      <c r="P561" s="146">
        <v>6.9999999999999993E-19</v>
      </c>
      <c r="Q561" s="118" t="s">
        <v>1173</v>
      </c>
      <c r="R561" s="1"/>
      <c r="S561" s="1" t="s">
        <v>1049</v>
      </c>
      <c r="T561" s="1"/>
      <c r="U561" s="24" t="s">
        <v>756</v>
      </c>
      <c r="V561" s="116" t="b">
        <f>OR(B561=$V$1,D561=$V$1,B561="2"&amp;$V$1)</f>
        <v>0</v>
      </c>
      <c r="W561" s="1" t="b">
        <f>OR(J561=$W$1,L561=$W$1,N561=$W$1,J561="2"&amp;$W$1,L561="2"&amp;$W$1,N561="2"&amp;$W$1)</f>
        <v>0</v>
      </c>
      <c r="X561" s="25" t="s">
        <v>1607</v>
      </c>
      <c r="Y561" s="25" t="str">
        <f>B561&amp;" + "&amp;D561&amp;IF(F561&lt;&gt;""," + "&amp;F561,"")&amp;"-&gt;"&amp;J561&amp;" + "&amp;L561&amp;IF(N561&lt;&gt;""," + "&amp;N561,"")</f>
        <v>N(2D) + O-&gt;N + O</v>
      </c>
      <c r="Z561" s="29">
        <f>O561</f>
        <v>6.9999999999999993E-19</v>
      </c>
    </row>
    <row r="562" spans="1:26" ht="22.5" customHeight="1" x14ac:dyDescent="0.25">
      <c r="A562" s="1" t="s">
        <v>561</v>
      </c>
      <c r="B562" s="1" t="s">
        <v>639</v>
      </c>
      <c r="C562" s="2" t="s">
        <v>0</v>
      </c>
      <c r="D562" s="22" t="s">
        <v>653</v>
      </c>
      <c r="E562" s="2" t="s">
        <v>0</v>
      </c>
      <c r="F562" s="22" t="s">
        <v>687</v>
      </c>
      <c r="G562" s="4" t="s">
        <v>7</v>
      </c>
      <c r="H562" s="112" t="s">
        <v>1631</v>
      </c>
      <c r="I562" s="4" t="s">
        <v>7</v>
      </c>
      <c r="J562" s="119" t="s">
        <v>654</v>
      </c>
      <c r="K562" s="2" t="s">
        <v>0</v>
      </c>
      <c r="L562" s="22" t="s">
        <v>687</v>
      </c>
      <c r="M562" s="2"/>
      <c r="N562" s="125"/>
      <c r="O562" s="126">
        <f>1.62*10^-44*NM</f>
        <v>4.3740000000000008E-19</v>
      </c>
      <c r="P562" s="146">
        <v>4.3740000000000008E-19</v>
      </c>
      <c r="Q562" s="118" t="s">
        <v>1195</v>
      </c>
      <c r="R562" s="1"/>
      <c r="S562" s="1" t="s">
        <v>1049</v>
      </c>
      <c r="T562" s="1"/>
      <c r="U562" s="24" t="s">
        <v>1031</v>
      </c>
      <c r="V562" s="116" t="b">
        <f>OR(B562=$V$1,D562=$V$1,B562="2"&amp;$V$1)</f>
        <v>0</v>
      </c>
      <c r="W562" s="1" t="b">
        <f>OR(J562=$W$1,L562=$W$1,N562=$W$1,J562="2"&amp;$W$1,L562="2"&amp;$W$1,N562="2"&amp;$W$1)</f>
        <v>0</v>
      </c>
      <c r="Y562" s="25" t="str">
        <f>B562&amp;" + "&amp;D562&amp;IF(F562&lt;&gt;""," + "&amp;F562,"")&amp;"-&gt;"&amp;J562&amp;" + "&amp;L562&amp;IF(N562&lt;&gt;""," + "&amp;N562,"")</f>
        <v>O + H + M-&gt;OH + M</v>
      </c>
      <c r="Z562" s="29">
        <f>O562</f>
        <v>4.3740000000000008E-19</v>
      </c>
    </row>
    <row r="563" spans="1:26" ht="22.5" customHeight="1" x14ac:dyDescent="0.25">
      <c r="A563" s="1" t="s">
        <v>526</v>
      </c>
      <c r="B563" s="1" t="s">
        <v>636</v>
      </c>
      <c r="C563" s="2" t="s">
        <v>0</v>
      </c>
      <c r="D563" s="22" t="s">
        <v>639</v>
      </c>
      <c r="E563" s="2" t="s">
        <v>0</v>
      </c>
      <c r="F563" s="22" t="s">
        <v>687</v>
      </c>
      <c r="G563" s="4" t="s">
        <v>7</v>
      </c>
      <c r="H563" s="112" t="s">
        <v>1631</v>
      </c>
      <c r="I563" s="4" t="s">
        <v>7</v>
      </c>
      <c r="J563" s="119" t="s">
        <v>688</v>
      </c>
      <c r="K563" s="2" t="s">
        <v>0</v>
      </c>
      <c r="L563" s="22" t="s">
        <v>687</v>
      </c>
      <c r="M563" s="2"/>
      <c r="N563" s="125"/>
      <c r="O563" s="126">
        <f>6.3*10^-45*EXP(140/Tg)*NM</f>
        <v>2.7000290117204052E-19</v>
      </c>
      <c r="P563" s="146">
        <v>2.7000290117204052E-19</v>
      </c>
      <c r="Q563" s="118" t="s">
        <v>1174</v>
      </c>
      <c r="R563" s="1"/>
      <c r="S563" s="119" t="s">
        <v>1290</v>
      </c>
      <c r="T563" s="119"/>
      <c r="U563" s="24" t="s">
        <v>1034</v>
      </c>
      <c r="V563" s="116" t="b">
        <f>OR(B563=$V$1,D563=$V$1,B563="2"&amp;$V$1)</f>
        <v>0</v>
      </c>
      <c r="W563" s="1" t="b">
        <f>OR(J563=$W$1,L563=$W$1,N563=$W$1,J563="2"&amp;$W$1,L563="2"&amp;$W$1,N563="2"&amp;$W$1)</f>
        <v>0</v>
      </c>
      <c r="Y563" s="25" t="str">
        <f>B563&amp;" + "&amp;D563&amp;IF(F563&lt;&gt;""," + "&amp;F563,"")&amp;"-&gt;"&amp;J563&amp;" + "&amp;L563&amp;IF(N563&lt;&gt;""," + "&amp;N563,"")</f>
        <v>N + O + M-&gt;NO + M</v>
      </c>
      <c r="Z563" s="29">
        <f>O563</f>
        <v>2.7000290117204052E-19</v>
      </c>
    </row>
    <row r="564" spans="1:26" ht="22.5" customHeight="1" x14ac:dyDescent="0.25">
      <c r="A564" s="1" t="s">
        <v>604</v>
      </c>
      <c r="B564" s="1" t="s">
        <v>844</v>
      </c>
      <c r="C564" s="2" t="s">
        <v>0</v>
      </c>
      <c r="D564" s="22" t="s">
        <v>653</v>
      </c>
      <c r="E564" s="2"/>
      <c r="F564" s="22"/>
      <c r="G564" s="4" t="s">
        <v>7</v>
      </c>
      <c r="H564" s="112" t="s">
        <v>1559</v>
      </c>
      <c r="I564" s="4" t="s">
        <v>7</v>
      </c>
      <c r="J564" s="119" t="s">
        <v>654</v>
      </c>
      <c r="K564" s="2" t="s">
        <v>0</v>
      </c>
      <c r="L564" s="22" t="s">
        <v>739</v>
      </c>
      <c r="M564" s="2"/>
      <c r="N564" s="125"/>
      <c r="O564" s="126">
        <f>5.8*10^-16*EXP(-750/Tg)</f>
        <v>4.8802453038981376E-17</v>
      </c>
      <c r="P564" s="146">
        <v>4.8802453038981376E-17</v>
      </c>
      <c r="Q564" s="118" t="s">
        <v>1225</v>
      </c>
      <c r="R564" s="1"/>
      <c r="S564" s="1" t="s">
        <v>1049</v>
      </c>
      <c r="T564" s="1"/>
      <c r="U564" s="24" t="s">
        <v>691</v>
      </c>
      <c r="V564" s="116" t="b">
        <f>OR(B564=$V$1,D564=$V$1,B564="2"&amp;$V$1)</f>
        <v>0</v>
      </c>
      <c r="W564" s="1" t="b">
        <f>OR(J564=$W$1,L564=$W$1,N564=$W$1,J564="2"&amp;$W$1,L564="2"&amp;$W$1,N564="2"&amp;$W$1)</f>
        <v>1</v>
      </c>
      <c r="Y564" s="25" t="str">
        <f>B564&amp;" + "&amp;D564&amp;IF(F564&lt;&gt;""," + "&amp;F564,"")&amp;"-&gt;"&amp;J564&amp;" + "&amp;L564&amp;IF(N564&lt;&gt;""," + "&amp;N564,"")</f>
        <v>NO3 + H-&gt;OH + NO2</v>
      </c>
      <c r="Z564" s="29">
        <f>O564</f>
        <v>4.8802453038981376E-17</v>
      </c>
    </row>
    <row r="565" spans="1:26" ht="22.5" customHeight="1" x14ac:dyDescent="0.25">
      <c r="A565" s="1" t="s">
        <v>530</v>
      </c>
      <c r="B565" s="1" t="s">
        <v>636</v>
      </c>
      <c r="C565" s="2" t="s">
        <v>0</v>
      </c>
      <c r="D565" s="22" t="s">
        <v>767</v>
      </c>
      <c r="E565" s="2"/>
      <c r="F565" s="22"/>
      <c r="G565" s="4" t="s">
        <v>7</v>
      </c>
      <c r="H565" s="112" t="s">
        <v>1559</v>
      </c>
      <c r="I565" s="4" t="s">
        <v>7</v>
      </c>
      <c r="J565" s="119" t="s">
        <v>688</v>
      </c>
      <c r="K565" s="2" t="s">
        <v>0</v>
      </c>
      <c r="L565" s="22" t="s">
        <v>654</v>
      </c>
      <c r="M565" s="2"/>
      <c r="N565" s="125"/>
      <c r="O565" s="126">
        <f>1.7*10^-17*EXP(-1000/Tg)</f>
        <v>6.2680694470240974E-19</v>
      </c>
      <c r="P565" s="146">
        <v>6.2680694470240974E-19</v>
      </c>
      <c r="Q565" s="118" t="s">
        <v>1176</v>
      </c>
      <c r="R565" s="1"/>
      <c r="S565" s="1" t="s">
        <v>1049</v>
      </c>
      <c r="T565" s="1"/>
      <c r="U565" s="24" t="s">
        <v>691</v>
      </c>
      <c r="V565" s="116" t="b">
        <f>OR(B565=$V$1,D565=$V$1,B565="2"&amp;$V$1)</f>
        <v>0</v>
      </c>
      <c r="W565" s="1" t="b">
        <f>OR(J565=$W$1,L565=$W$1,N565=$W$1,J565="2"&amp;$W$1,L565="2"&amp;$W$1,N565="2"&amp;$W$1)</f>
        <v>0</v>
      </c>
      <c r="X565" s="25" t="s">
        <v>1607</v>
      </c>
      <c r="Y565" s="25" t="str">
        <f>B565&amp;" + "&amp;D565&amp;IF(F565&lt;&gt;""," + "&amp;F565,"")&amp;"-&gt;"&amp;J565&amp;" + "&amp;L565&amp;IF(N565&lt;&gt;""," + "&amp;N565,"")</f>
        <v>N + HO2-&gt;NO + OH</v>
      </c>
      <c r="Z565" s="29">
        <f>O565</f>
        <v>6.2680694470240974E-19</v>
      </c>
    </row>
    <row r="566" spans="1:26" ht="22.5" customHeight="1" x14ac:dyDescent="0.25">
      <c r="A566" s="1" t="s">
        <v>565</v>
      </c>
      <c r="B566" s="1" t="s">
        <v>639</v>
      </c>
      <c r="C566" s="2" t="s">
        <v>0</v>
      </c>
      <c r="D566" s="22" t="s">
        <v>811</v>
      </c>
      <c r="E566" s="2"/>
      <c r="F566" s="22"/>
      <c r="G566" s="4" t="s">
        <v>7</v>
      </c>
      <c r="H566" s="112" t="s">
        <v>1559</v>
      </c>
      <c r="I566" s="4" t="s">
        <v>7</v>
      </c>
      <c r="J566" s="119" t="s">
        <v>654</v>
      </c>
      <c r="K566" s="2" t="s">
        <v>0</v>
      </c>
      <c r="L566" s="22" t="s">
        <v>688</v>
      </c>
      <c r="M566" s="2"/>
      <c r="N566" s="125"/>
      <c r="O566" s="126">
        <f>1.66*10^-19</f>
        <v>1.66E-19</v>
      </c>
      <c r="P566" s="146">
        <v>5.9900000000000009E-17</v>
      </c>
      <c r="Q566" s="118" t="s">
        <v>1666</v>
      </c>
      <c r="R566" s="1"/>
      <c r="S566" s="1" t="s">
        <v>1049</v>
      </c>
      <c r="T566" s="1"/>
      <c r="U566" s="24" t="s">
        <v>756</v>
      </c>
      <c r="V566" s="116" t="b">
        <f>OR(B566=$V$1,D566=$V$1,B566="2"&amp;$V$1)</f>
        <v>0</v>
      </c>
      <c r="W566" s="1" t="b">
        <f>OR(J566=$W$1,L566=$W$1,N566=$W$1,J566="2"&amp;$W$1,L566="2"&amp;$W$1,N566="2"&amp;$W$1)</f>
        <v>0</v>
      </c>
      <c r="X566" s="25" t="s">
        <v>1607</v>
      </c>
      <c r="Y566" s="25" t="str">
        <f>B566&amp;" + "&amp;D566&amp;IF(F566&lt;&gt;""," + "&amp;F566,"")&amp;"-&gt;"&amp;J566&amp;" + "&amp;L566&amp;IF(N566&lt;&gt;""," + "&amp;N566,"")</f>
        <v>O + HNO-&gt;OH + NO</v>
      </c>
      <c r="Z566" s="29">
        <f>O566</f>
        <v>1.66E-19</v>
      </c>
    </row>
    <row r="567" spans="1:26" ht="22.5" customHeight="1" x14ac:dyDescent="0.25">
      <c r="A567" s="1" t="s">
        <v>593</v>
      </c>
      <c r="B567" s="1" t="s">
        <v>688</v>
      </c>
      <c r="C567" s="2" t="s">
        <v>0</v>
      </c>
      <c r="D567" s="22" t="s">
        <v>740</v>
      </c>
      <c r="E567" s="2"/>
      <c r="F567" s="22"/>
      <c r="G567" s="4" t="s">
        <v>7</v>
      </c>
      <c r="H567" s="112" t="s">
        <v>1559</v>
      </c>
      <c r="I567" s="4" t="s">
        <v>7</v>
      </c>
      <c r="J567" s="124" t="s">
        <v>1422</v>
      </c>
      <c r="K567" s="2"/>
      <c r="L567" s="22"/>
      <c r="M567" s="2"/>
      <c r="N567" s="125"/>
      <c r="O567" s="126">
        <f>1.8*10^-17*EXP(110/Tg)</f>
        <v>2.5878384928609566E-17</v>
      </c>
      <c r="P567" s="146">
        <v>2.5878384928609566E-17</v>
      </c>
      <c r="Q567" s="118" t="s">
        <v>1215</v>
      </c>
      <c r="R567" s="1"/>
      <c r="S567" s="1" t="s">
        <v>1049</v>
      </c>
      <c r="T567" s="1"/>
      <c r="U567" s="24" t="s">
        <v>1034</v>
      </c>
      <c r="V567" s="116" t="b">
        <f>OR(B567=$V$1,D567=$V$1,B567="2"&amp;$V$1)</f>
        <v>0</v>
      </c>
      <c r="W567" s="1" t="b">
        <f>OR(J567=$W$1,L567=$W$1,N567=$W$1,J567="2"&amp;$W$1,L567="2"&amp;$W$1,N567="2"&amp;$W$1)</f>
        <v>1</v>
      </c>
      <c r="Y567" s="25" t="str">
        <f>B567&amp;" + "&amp;D567&amp;IF(F567&lt;&gt;""," + "&amp;F567,"")&amp;"-&gt;"&amp;J567&amp;" + "&amp;L567&amp;IF(N567&lt;&gt;""," + "&amp;N567,"")</f>
        <v xml:space="preserve">NO + NO3-&gt;2NO2 + </v>
      </c>
      <c r="Z567" s="29">
        <f>O567</f>
        <v>2.5878384928609566E-17</v>
      </c>
    </row>
    <row r="568" spans="1:26" ht="22.5" customHeight="1" x14ac:dyDescent="0.25">
      <c r="A568" s="1" t="s">
        <v>554</v>
      </c>
      <c r="B568" s="1" t="s">
        <v>1411</v>
      </c>
      <c r="C568" s="2" t="s">
        <v>0</v>
      </c>
      <c r="D568" s="22" t="s">
        <v>687</v>
      </c>
      <c r="E568" s="2"/>
      <c r="F568" s="3"/>
      <c r="G568" s="4" t="s">
        <v>7</v>
      </c>
      <c r="H568" s="112" t="s">
        <v>1559</v>
      </c>
      <c r="I568" s="4" t="s">
        <v>7</v>
      </c>
      <c r="J568" s="119" t="s">
        <v>637</v>
      </c>
      <c r="K568" s="2" t="s">
        <v>0</v>
      </c>
      <c r="L568" s="22" t="s">
        <v>687</v>
      </c>
      <c r="M568" s="2"/>
      <c r="N568" s="125"/>
      <c r="O568" s="126">
        <f>1.9*10^-42*EXP(-170/Tg)/Tg*NM</f>
        <v>9.6607571690782489E-20</v>
      </c>
      <c r="P568" s="146">
        <v>9.6607571690782489E-20</v>
      </c>
      <c r="Q568" s="118" t="s">
        <v>1278</v>
      </c>
      <c r="R568" s="1"/>
      <c r="S568" s="1" t="s">
        <v>1277</v>
      </c>
      <c r="T568" s="1"/>
      <c r="U568" s="24" t="s">
        <v>1034</v>
      </c>
      <c r="V568" s="116" t="b">
        <f>OR(B568=$V$1,D568=$V$1,B568="2"&amp;$V$1)</f>
        <v>0</v>
      </c>
      <c r="W568" s="1" t="b">
        <f>OR(J568=$W$1,L568=$W$1,N568=$W$1,J568="2"&amp;$W$1,L568="2"&amp;$W$1,N568="2"&amp;$W$1)</f>
        <v>0</v>
      </c>
      <c r="Y568" s="25" t="str">
        <f>B568&amp;" + "&amp;D568&amp;IF(F568&lt;&gt;""," + "&amp;F568,"")&amp;"-&gt;"&amp;J568&amp;" + "&amp;L568&amp;IF(N568&lt;&gt;""," + "&amp;N568,"")</f>
        <v>2O + M-&gt;O2 + M</v>
      </c>
      <c r="Z568" s="29">
        <f>O568</f>
        <v>9.6607571690782489E-20</v>
      </c>
    </row>
    <row r="569" spans="1:26" ht="22.5" customHeight="1" x14ac:dyDescent="0.25">
      <c r="A569" s="1" t="s">
        <v>602</v>
      </c>
      <c r="B569" s="1" t="s">
        <v>739</v>
      </c>
      <c r="C569" s="2" t="s">
        <v>0</v>
      </c>
      <c r="D569" s="22" t="s">
        <v>654</v>
      </c>
      <c r="E569" s="2" t="s">
        <v>0</v>
      </c>
      <c r="F569" s="22" t="s">
        <v>687</v>
      </c>
      <c r="G569" s="4" t="s">
        <v>7</v>
      </c>
      <c r="H569" s="112" t="s">
        <v>1631</v>
      </c>
      <c r="I569" s="4" t="s">
        <v>7</v>
      </c>
      <c r="J569" s="119" t="s">
        <v>1271</v>
      </c>
      <c r="K569" s="2" t="s">
        <v>0</v>
      </c>
      <c r="L569" s="22" t="s">
        <v>687</v>
      </c>
      <c r="M569" s="2"/>
      <c r="N569" s="125"/>
      <c r="O569" s="126">
        <f>2.2*10^-42*(300/Tg)^2.9*NM</f>
        <v>5.7710450034234108E-17</v>
      </c>
      <c r="P569" s="146">
        <v>5.7710450034234108E-17</v>
      </c>
      <c r="Q569" s="118" t="s">
        <v>1223</v>
      </c>
      <c r="R569" s="1"/>
      <c r="S569" s="1" t="s">
        <v>1049</v>
      </c>
      <c r="T569" s="1"/>
      <c r="U569" s="24" t="s">
        <v>1034</v>
      </c>
      <c r="V569" s="116" t="b">
        <f>OR(B569=$V$1,D569=$V$1,B569="2"&amp;$V$1)</f>
        <v>0</v>
      </c>
      <c r="W569" s="1" t="b">
        <f>OR(J569=$W$1,L569=$W$1,N569=$W$1,J569="2"&amp;$W$1,L569="2"&amp;$W$1,N569="2"&amp;$W$1)</f>
        <v>0</v>
      </c>
      <c r="Y569" s="25" t="str">
        <f>B569&amp;" + "&amp;D569&amp;IF(F569&lt;&gt;""," + "&amp;F569,"")&amp;"-&gt;"&amp;J569&amp;" + "&amp;L569&amp;IF(N569&lt;&gt;""," + "&amp;N569,"")</f>
        <v>NO2 + OH + M-&gt;HNO3 + M</v>
      </c>
      <c r="Z569" s="29">
        <f>O569</f>
        <v>5.7710450034234108E-17</v>
      </c>
    </row>
    <row r="570" spans="1:26" ht="22.5" customHeight="1" x14ac:dyDescent="0.25">
      <c r="A570" s="1" t="s">
        <v>1304</v>
      </c>
      <c r="B570" s="1" t="s">
        <v>1485</v>
      </c>
      <c r="C570" s="2" t="s">
        <v>0</v>
      </c>
      <c r="D570" s="1" t="s">
        <v>639</v>
      </c>
      <c r="E570" s="2"/>
      <c r="F570" s="3"/>
      <c r="G570" s="4" t="s">
        <v>7</v>
      </c>
      <c r="H570" s="112" t="s">
        <v>1559</v>
      </c>
      <c r="I570" s="4" t="s">
        <v>7</v>
      </c>
      <c r="J570" s="1" t="s">
        <v>1484</v>
      </c>
      <c r="K570" s="2" t="s">
        <v>0</v>
      </c>
      <c r="L570" s="1" t="s">
        <v>639</v>
      </c>
      <c r="M570" s="2"/>
      <c r="N570" s="125"/>
      <c r="O570" s="126">
        <f>8*10^-20</f>
        <v>7.9999999999999996E-20</v>
      </c>
      <c r="P570" s="146">
        <v>7.9999999999999996E-20</v>
      </c>
      <c r="Q570" s="118" t="s">
        <v>1307</v>
      </c>
      <c r="R570" s="1"/>
      <c r="S570" s="1" t="s">
        <v>1283</v>
      </c>
      <c r="T570" s="1"/>
      <c r="U570" s="24"/>
      <c r="V570" s="116" t="b">
        <f>OR(B570=$V$1,D570=$V$1,B570="2"&amp;$V$1)</f>
        <v>0</v>
      </c>
      <c r="W570" s="1" t="b">
        <f>OR(J570=$W$1,L570=$W$1,N570=$W$1,J570="2"&amp;$W$1,L570="2"&amp;$W$1,N570="2"&amp;$W$1)</f>
        <v>0</v>
      </c>
      <c r="Y570" s="25" t="str">
        <f>B570&amp;" + "&amp;D570&amp;IF(F570&lt;&gt;""," + "&amp;F570,"")&amp;"-&gt;"&amp;J570&amp;" + "&amp;L570&amp;IF(N570&lt;&gt;""," + "&amp;N570,"")</f>
        <v>O2(b1) + O-&gt;O2(a1) + O</v>
      </c>
      <c r="Z570" s="29">
        <f>O570</f>
        <v>7.9999999999999996E-20</v>
      </c>
    </row>
    <row r="571" spans="1:26" ht="22.5" customHeight="1" x14ac:dyDescent="0.25">
      <c r="A571" s="1" t="s">
        <v>1280</v>
      </c>
      <c r="B571" s="1" t="s">
        <v>1411</v>
      </c>
      <c r="C571" s="2" t="s">
        <v>0</v>
      </c>
      <c r="D571" s="22" t="s">
        <v>687</v>
      </c>
      <c r="E571" s="2"/>
      <c r="F571" s="3"/>
      <c r="G571" s="4" t="s">
        <v>7</v>
      </c>
      <c r="H571" s="112" t="s">
        <v>1559</v>
      </c>
      <c r="I571" s="4" t="s">
        <v>7</v>
      </c>
      <c r="J571" s="119" t="s">
        <v>1486</v>
      </c>
      <c r="K571" s="2" t="s">
        <v>0</v>
      </c>
      <c r="L571" s="22" t="s">
        <v>687</v>
      </c>
      <c r="M571" s="2"/>
      <c r="N571" s="125"/>
      <c r="O571" s="126">
        <f>1.3*10^-42*EXP(-170/Tg)/Tg*NM</f>
        <v>6.6099917472640655E-20</v>
      </c>
      <c r="P571" s="146">
        <v>6.6099917472640655E-20</v>
      </c>
      <c r="Q571" s="118" t="s">
        <v>1282</v>
      </c>
      <c r="R571" s="1"/>
      <c r="S571" s="1" t="s">
        <v>1283</v>
      </c>
      <c r="T571" s="1"/>
      <c r="U571" s="24"/>
      <c r="V571" s="116" t="b">
        <f>OR(B571=$V$1,D571=$V$1,B571="2"&amp;$V$1)</f>
        <v>0</v>
      </c>
      <c r="W571" s="1" t="b">
        <f>OR(J571=$W$1,L571=$W$1,N571=$W$1,J571="2"&amp;$W$1,L571="2"&amp;$W$1,N571="2"&amp;$W$1)</f>
        <v>0</v>
      </c>
      <c r="Y571" s="25" t="str">
        <f>B571&amp;" + "&amp;D571&amp;IF(F571&lt;&gt;""," + "&amp;F571,"")&amp;"-&gt;"&amp;J571&amp;" + "&amp;L571&amp;IF(N571&lt;&gt;""," + "&amp;N571,"")</f>
        <v>2O + M-&gt;O2(a1) + M</v>
      </c>
      <c r="Z571" s="29">
        <f>O571</f>
        <v>6.6099917472640655E-20</v>
      </c>
    </row>
    <row r="572" spans="1:26" ht="22.5" customHeight="1" x14ac:dyDescent="0.25">
      <c r="A572" s="1" t="s">
        <v>524</v>
      </c>
      <c r="B572" s="1" t="s">
        <v>636</v>
      </c>
      <c r="C572" s="2" t="s">
        <v>0</v>
      </c>
      <c r="D572" s="1" t="s">
        <v>739</v>
      </c>
      <c r="E572" s="2"/>
      <c r="F572" s="22"/>
      <c r="G572" s="4" t="s">
        <v>7</v>
      </c>
      <c r="H572" s="112" t="s">
        <v>1559</v>
      </c>
      <c r="I572" s="4" t="s">
        <v>7</v>
      </c>
      <c r="J572" s="119" t="s">
        <v>1418</v>
      </c>
      <c r="K572" s="2"/>
      <c r="L572" s="22"/>
      <c r="M572" s="2"/>
      <c r="N572" s="125"/>
      <c r="O572" s="126">
        <f>6*10^-19</f>
        <v>5.9999999999999999E-19</v>
      </c>
      <c r="P572" s="146">
        <v>5.9999999999999999E-19</v>
      </c>
      <c r="Q572" s="118" t="s">
        <v>1172</v>
      </c>
      <c r="R572" s="1"/>
      <c r="S572" s="1" t="s">
        <v>1050</v>
      </c>
      <c r="T572" s="1"/>
      <c r="U572" s="24" t="s">
        <v>805</v>
      </c>
      <c r="V572" s="116" t="b">
        <f>OR(B572=$V$1,D572=$V$1,B572="2"&amp;$V$1)</f>
        <v>0</v>
      </c>
      <c r="W572" s="1" t="b">
        <f>OR(J572=$W$1,L572=$W$1,N572=$W$1,J572="2"&amp;$W$1,L572="2"&amp;$W$1,N572="2"&amp;$W$1)</f>
        <v>0</v>
      </c>
      <c r="Y572" s="25" t="str">
        <f>B572&amp;" + "&amp;D572&amp;IF(F572&lt;&gt;""," + "&amp;F572,"")&amp;"-&gt;"&amp;J572&amp;" + "&amp;L572&amp;IF(N572&lt;&gt;""," + "&amp;N572,"")</f>
        <v xml:space="preserve">N + NO2-&gt;2NO + </v>
      </c>
      <c r="Z572" s="29">
        <f>O572</f>
        <v>5.9999999999999999E-19</v>
      </c>
    </row>
    <row r="573" spans="1:26" ht="22.5" customHeight="1" x14ac:dyDescent="0.25">
      <c r="A573" s="1" t="s">
        <v>605</v>
      </c>
      <c r="B573" s="1" t="s">
        <v>844</v>
      </c>
      <c r="C573" s="2" t="s">
        <v>0</v>
      </c>
      <c r="D573" s="22" t="s">
        <v>654</v>
      </c>
      <c r="E573" s="2"/>
      <c r="F573" s="22"/>
      <c r="G573" s="4" t="s">
        <v>7</v>
      </c>
      <c r="H573" s="112" t="s">
        <v>1559</v>
      </c>
      <c r="I573" s="4" t="s">
        <v>7</v>
      </c>
      <c r="J573" s="124" t="s">
        <v>1262</v>
      </c>
      <c r="K573" s="2" t="s">
        <v>0</v>
      </c>
      <c r="L573" s="22" t="s">
        <v>739</v>
      </c>
      <c r="M573" s="2"/>
      <c r="N573" s="125"/>
      <c r="O573" s="126">
        <f>2*10^-17</f>
        <v>2.0000000000000001E-17</v>
      </c>
      <c r="P573" s="146">
        <v>2.0000000000000001E-17</v>
      </c>
      <c r="Q573" s="118" t="s">
        <v>1104</v>
      </c>
      <c r="R573" s="1"/>
      <c r="S573" s="1" t="s">
        <v>1049</v>
      </c>
      <c r="T573" s="1"/>
      <c r="U573" s="24" t="s">
        <v>1036</v>
      </c>
      <c r="V573" s="116" t="b">
        <f>OR(B573=$V$1,D573=$V$1,B573="2"&amp;$V$1)</f>
        <v>0</v>
      </c>
      <c r="W573" s="1" t="b">
        <f>OR(J573=$W$1,L573=$W$1,N573=$W$1,J573="2"&amp;$W$1,L573="2"&amp;$W$1,N573="2"&amp;$W$1)</f>
        <v>1</v>
      </c>
      <c r="Y573" s="25" t="str">
        <f>B573&amp;" + "&amp;D573&amp;IF(F573&lt;&gt;""," + "&amp;F573,"")&amp;"-&gt;"&amp;J573&amp;" + "&amp;L573&amp;IF(N573&lt;&gt;""," + "&amp;N573,"")</f>
        <v>NO3 + OH-&gt;HO2 + NO2</v>
      </c>
      <c r="Z573" s="29">
        <f>O573</f>
        <v>2.0000000000000001E-17</v>
      </c>
    </row>
    <row r="574" spans="1:26" ht="22.5" customHeight="1" x14ac:dyDescent="0.25">
      <c r="A574" s="1" t="s">
        <v>567</v>
      </c>
      <c r="B574" s="1" t="s">
        <v>839</v>
      </c>
      <c r="C574" s="2" t="s">
        <v>0</v>
      </c>
      <c r="D574" s="1" t="s">
        <v>649</v>
      </c>
      <c r="E574" s="2"/>
      <c r="F574" s="3"/>
      <c r="G574" s="4" t="s">
        <v>7</v>
      </c>
      <c r="H574" s="112" t="s">
        <v>1559</v>
      </c>
      <c r="I574" s="4" t="s">
        <v>7</v>
      </c>
      <c r="J574" s="119" t="s">
        <v>639</v>
      </c>
      <c r="K574" s="2" t="s">
        <v>0</v>
      </c>
      <c r="L574" s="1" t="s">
        <v>649</v>
      </c>
      <c r="M574" s="2"/>
      <c r="N574" s="125"/>
      <c r="O574" s="126">
        <f>6.4*10^-18*EXP(67/Tg)</f>
        <v>7.9838448210324609E-18</v>
      </c>
      <c r="P574" s="146">
        <v>7.9838448210324609E-18</v>
      </c>
      <c r="Q574" s="118" t="s">
        <v>1200</v>
      </c>
      <c r="R574" s="1"/>
      <c r="S574" s="1" t="s">
        <v>1050</v>
      </c>
      <c r="T574" s="1"/>
      <c r="U574" s="24" t="s">
        <v>691</v>
      </c>
      <c r="V574" s="116" t="b">
        <f>OR(B574=$V$1,D574=$V$1,B574="2"&amp;$V$1)</f>
        <v>1</v>
      </c>
      <c r="W574" s="1" t="b">
        <f>OR(J574=$W$1,L574=$W$1,N574=$W$1,J574="2"&amp;$W$1,L574="2"&amp;$W$1,N574="2"&amp;$W$1)</f>
        <v>0</v>
      </c>
      <c r="Y574" s="25" t="str">
        <f>B574&amp;" + "&amp;D574&amp;IF(F574&lt;&gt;""," + "&amp;F574,"")&amp;"-&gt;"&amp;J574&amp;" + "&amp;L574&amp;IF(N574&lt;&gt;""," + "&amp;N574,"")</f>
        <v>O(1D) + O2-&gt;O + O2</v>
      </c>
      <c r="Z574" s="29">
        <f>O574</f>
        <v>7.9838448210324609E-18</v>
      </c>
    </row>
    <row r="575" spans="1:26" ht="22.5" customHeight="1" x14ac:dyDescent="0.25">
      <c r="A575" s="1" t="s">
        <v>1279</v>
      </c>
      <c r="B575" s="1" t="s">
        <v>1411</v>
      </c>
      <c r="C575" s="2" t="s">
        <v>0</v>
      </c>
      <c r="D575" s="22" t="s">
        <v>687</v>
      </c>
      <c r="E575" s="2"/>
      <c r="F575" s="3"/>
      <c r="G575" s="4" t="s">
        <v>7</v>
      </c>
      <c r="H575" s="112" t="s">
        <v>1559</v>
      </c>
      <c r="I575" s="4" t="s">
        <v>7</v>
      </c>
      <c r="J575" s="119" t="s">
        <v>1487</v>
      </c>
      <c r="K575" s="2" t="s">
        <v>0</v>
      </c>
      <c r="L575" s="22" t="s">
        <v>687</v>
      </c>
      <c r="M575" s="2"/>
      <c r="N575" s="125"/>
      <c r="O575" s="126">
        <f>6*10^-43*EXP(-170/Tg)/Tg*NM</f>
        <v>3.0507654218141852E-20</v>
      </c>
      <c r="P575" s="146">
        <v>3.0507654218141852E-20</v>
      </c>
      <c r="Q575" s="118" t="s">
        <v>1281</v>
      </c>
      <c r="R575" s="1"/>
      <c r="S575" s="1" t="s">
        <v>1283</v>
      </c>
      <c r="T575" s="1"/>
      <c r="U575" s="24"/>
      <c r="V575" s="116" t="b">
        <f>OR(B575=$V$1,D575=$V$1,B575="2"&amp;$V$1)</f>
        <v>0</v>
      </c>
      <c r="W575" s="1" t="b">
        <f>OR(J575=$W$1,L575=$W$1,N575=$W$1,J575="2"&amp;$W$1,L575="2"&amp;$W$1,N575="2"&amp;$W$1)</f>
        <v>0</v>
      </c>
      <c r="Y575" s="25" t="str">
        <f>B575&amp;" + "&amp;D575&amp;IF(F575&lt;&gt;""," + "&amp;F575,"")&amp;"-&gt;"&amp;J575&amp;" + "&amp;L575&amp;IF(N575&lt;&gt;""," + "&amp;N575,"")</f>
        <v>2O + M-&gt;O2(b1) + M</v>
      </c>
      <c r="Z575" s="29">
        <f>O575</f>
        <v>3.0507654218141852E-20</v>
      </c>
    </row>
    <row r="576" spans="1:26" ht="22.5" customHeight="1" x14ac:dyDescent="0.25">
      <c r="A576" s="1" t="s">
        <v>570</v>
      </c>
      <c r="B576" s="1" t="s">
        <v>839</v>
      </c>
      <c r="C576" s="2" t="s">
        <v>0</v>
      </c>
      <c r="D576" s="1" t="s">
        <v>649</v>
      </c>
      <c r="E576" s="2"/>
      <c r="F576" s="3"/>
      <c r="G576" s="4" t="s">
        <v>7</v>
      </c>
      <c r="H576" s="112" t="s">
        <v>1559</v>
      </c>
      <c r="I576" s="4" t="s">
        <v>7</v>
      </c>
      <c r="J576" s="119" t="s">
        <v>639</v>
      </c>
      <c r="K576" s="2" t="s">
        <v>0</v>
      </c>
      <c r="L576" s="1" t="s">
        <v>1484</v>
      </c>
      <c r="M576" s="2"/>
      <c r="N576" s="125"/>
      <c r="O576" s="126">
        <f>1*10^-18</f>
        <v>1.0000000000000001E-18</v>
      </c>
      <c r="P576" s="146">
        <v>1.0000000000000001E-18</v>
      </c>
      <c r="Q576" s="118" t="s">
        <v>1072</v>
      </c>
      <c r="R576" s="1"/>
      <c r="S576" s="1" t="s">
        <v>1049</v>
      </c>
      <c r="T576" s="1"/>
      <c r="U576" s="24" t="s">
        <v>691</v>
      </c>
      <c r="V576" s="116" t="b">
        <f>OR(B576=$V$1,D576=$V$1,B576="2"&amp;$V$1)</f>
        <v>1</v>
      </c>
      <c r="W576" s="1" t="b">
        <f>OR(J576=$W$1,L576=$W$1,N576=$W$1,J576="2"&amp;$W$1,L576="2"&amp;$W$1,N576="2"&amp;$W$1)</f>
        <v>0</v>
      </c>
      <c r="Y576" s="25" t="str">
        <f>B576&amp;" + "&amp;D576&amp;IF(F576&lt;&gt;""," + "&amp;F576,"")&amp;"-&gt;"&amp;J576&amp;" + "&amp;L576&amp;IF(N576&lt;&gt;""," + "&amp;N576,"")</f>
        <v>O(1D) + O2-&gt;O + O2(a1)</v>
      </c>
      <c r="Z576" s="29">
        <f>O576</f>
        <v>1.0000000000000001E-18</v>
      </c>
    </row>
    <row r="577" spans="1:26" ht="22.5" customHeight="1" x14ac:dyDescent="0.25">
      <c r="A577" s="1" t="s">
        <v>1296</v>
      </c>
      <c r="B577" s="1" t="s">
        <v>839</v>
      </c>
      <c r="C577" s="2" t="s">
        <v>0</v>
      </c>
      <c r="D577" s="1" t="s">
        <v>649</v>
      </c>
      <c r="E577" s="2"/>
      <c r="F577" s="3"/>
      <c r="G577" s="4" t="s">
        <v>7</v>
      </c>
      <c r="H577" s="112" t="s">
        <v>1559</v>
      </c>
      <c r="I577" s="4" t="s">
        <v>7</v>
      </c>
      <c r="J577" s="119" t="s">
        <v>639</v>
      </c>
      <c r="K577" s="2" t="s">
        <v>0</v>
      </c>
      <c r="L577" s="1" t="s">
        <v>1485</v>
      </c>
      <c r="M577" s="2"/>
      <c r="N577" s="125"/>
      <c r="O577" s="126">
        <f>3.2*10^-17*EXP(67/Tg)</f>
        <v>3.9919224105162302E-17</v>
      </c>
      <c r="P577" s="146">
        <v>3.9919224105162302E-17</v>
      </c>
      <c r="Q577" s="118" t="s">
        <v>1550</v>
      </c>
      <c r="R577" s="1"/>
      <c r="S577" s="1" t="s">
        <v>1283</v>
      </c>
      <c r="T577" s="1"/>
      <c r="U577" s="24" t="s">
        <v>1034</v>
      </c>
      <c r="V577" s="116" t="b">
        <f>OR(B577=$V$1,D577=$V$1,B577="2"&amp;$V$1)</f>
        <v>1</v>
      </c>
      <c r="W577" s="1" t="b">
        <f>OR(J577=$W$1,L577=$W$1,N577=$W$1,J577="2"&amp;$W$1,L577="2"&amp;$W$1,N577="2"&amp;$W$1)</f>
        <v>0</v>
      </c>
      <c r="Y577" s="25" t="str">
        <f>B577&amp;" + "&amp;D577&amp;IF(F577&lt;&gt;""," + "&amp;F577,"")&amp;"-&gt;"&amp;J577&amp;" + "&amp;L577&amp;IF(N577&lt;&gt;""," + "&amp;N577,"")</f>
        <v>O(1D) + O2-&gt;O + O2(b1)</v>
      </c>
      <c r="Z577" s="29">
        <f>O577</f>
        <v>3.9919224105162302E-17</v>
      </c>
    </row>
    <row r="578" spans="1:26" ht="22.5" customHeight="1" x14ac:dyDescent="0.25">
      <c r="A578" s="1" t="s">
        <v>571</v>
      </c>
      <c r="B578" s="1" t="s">
        <v>839</v>
      </c>
      <c r="C578" s="2" t="s">
        <v>0</v>
      </c>
      <c r="D578" s="1" t="s">
        <v>723</v>
      </c>
      <c r="E578" s="2"/>
      <c r="F578" s="3"/>
      <c r="G578" s="4" t="s">
        <v>7</v>
      </c>
      <c r="H578" s="112" t="s">
        <v>1559</v>
      </c>
      <c r="I578" s="4" t="s">
        <v>7</v>
      </c>
      <c r="J578" s="119" t="s">
        <v>1411</v>
      </c>
      <c r="K578" s="2" t="s">
        <v>0</v>
      </c>
      <c r="L578" s="22" t="s">
        <v>637</v>
      </c>
      <c r="M578" s="2"/>
      <c r="N578" s="128"/>
      <c r="O578" s="123">
        <f>1.2*10^-16</f>
        <v>1.2E-16</v>
      </c>
      <c r="P578" s="145">
        <v>1.2E-16</v>
      </c>
      <c r="Q578" s="118" t="s">
        <v>1202</v>
      </c>
      <c r="R578" s="1"/>
      <c r="S578" s="1" t="s">
        <v>1050</v>
      </c>
      <c r="T578" s="1"/>
      <c r="U578" s="24" t="s">
        <v>691</v>
      </c>
      <c r="V578" s="116" t="b">
        <f>OR(B578=$V$1,D578=$V$1,B578="2"&amp;$V$1)</f>
        <v>1</v>
      </c>
      <c r="W578" s="1" t="b">
        <f>OR(J578=$W$1,L578=$W$1,N578=$W$1,J578="2"&amp;$W$1,L578="2"&amp;$W$1,N578="2"&amp;$W$1)</f>
        <v>0</v>
      </c>
      <c r="Y578" s="25" t="str">
        <f>B578&amp;" + "&amp;D578&amp;IF(F578&lt;&gt;""," + "&amp;F578,"")&amp;"-&gt;"&amp;J578&amp;" + "&amp;L578&amp;IF(N578&lt;&gt;""," + "&amp;N578,"")</f>
        <v>O(1D) + O3-&gt;2O + O2</v>
      </c>
      <c r="Z578" s="29">
        <f>O578</f>
        <v>1.2E-16</v>
      </c>
    </row>
    <row r="579" spans="1:26" ht="22.5" customHeight="1" x14ac:dyDescent="0.25">
      <c r="A579" s="1" t="s">
        <v>572</v>
      </c>
      <c r="B579" s="1" t="s">
        <v>839</v>
      </c>
      <c r="C579" s="2" t="s">
        <v>0</v>
      </c>
      <c r="D579" s="1" t="s">
        <v>723</v>
      </c>
      <c r="E579" s="2"/>
      <c r="F579" s="3"/>
      <c r="G579" s="4" t="s">
        <v>7</v>
      </c>
      <c r="H579" s="112" t="s">
        <v>1559</v>
      </c>
      <c r="I579" s="4" t="s">
        <v>7</v>
      </c>
      <c r="J579" s="119" t="s">
        <v>1409</v>
      </c>
      <c r="K579" s="2"/>
      <c r="L579" s="1"/>
      <c r="M579" s="2"/>
      <c r="N579" s="125"/>
      <c r="O579" s="126">
        <f>1.2*10^-16</f>
        <v>1.2E-16</v>
      </c>
      <c r="P579" s="146">
        <v>1.2E-16</v>
      </c>
      <c r="Q579" s="118" t="s">
        <v>1202</v>
      </c>
      <c r="R579" s="1"/>
      <c r="S579" s="1" t="s">
        <v>1050</v>
      </c>
      <c r="T579" s="1"/>
      <c r="U579" s="24" t="s">
        <v>691</v>
      </c>
      <c r="V579" s="116" t="b">
        <f>OR(B579=$V$1,D579=$V$1,B579="2"&amp;$V$1)</f>
        <v>1</v>
      </c>
      <c r="W579" s="1" t="b">
        <f>OR(J579=$W$1,L579=$W$1,N579=$W$1,J579="2"&amp;$W$1,L579="2"&amp;$W$1,N579="2"&amp;$W$1)</f>
        <v>0</v>
      </c>
      <c r="Y579" s="25" t="str">
        <f>B579&amp;" + "&amp;D579&amp;IF(F579&lt;&gt;""," + "&amp;F579,"")&amp;"-&gt;"&amp;J579&amp;" + "&amp;L579&amp;IF(N579&lt;&gt;""," + "&amp;N579,"")</f>
        <v xml:space="preserve">O(1D) + O3-&gt;2O2 + </v>
      </c>
      <c r="Z579" s="29">
        <f>O579</f>
        <v>1.2E-16</v>
      </c>
    </row>
    <row r="580" spans="1:26" ht="22.5" customHeight="1" x14ac:dyDescent="0.25">
      <c r="A580" s="1" t="s">
        <v>1297</v>
      </c>
      <c r="B580" s="1" t="s">
        <v>839</v>
      </c>
      <c r="C580" s="2" t="s">
        <v>0</v>
      </c>
      <c r="D580" s="1" t="s">
        <v>723</v>
      </c>
      <c r="E580" s="2"/>
      <c r="F580" s="3"/>
      <c r="G580" s="4" t="s">
        <v>7</v>
      </c>
      <c r="H580" s="112" t="s">
        <v>1559</v>
      </c>
      <c r="I580" s="4" t="s">
        <v>7</v>
      </c>
      <c r="J580" s="1" t="s">
        <v>1484</v>
      </c>
      <c r="K580" s="2" t="s">
        <v>0</v>
      </c>
      <c r="L580" s="1" t="s">
        <v>649</v>
      </c>
      <c r="M580" s="2"/>
      <c r="N580" s="125"/>
      <c r="O580" s="126">
        <f>1.5*10^-17</f>
        <v>1.5E-17</v>
      </c>
      <c r="P580" s="146">
        <v>1.5E-17</v>
      </c>
      <c r="Q580" s="118" t="s">
        <v>1301</v>
      </c>
      <c r="R580" s="1"/>
      <c r="S580" s="1" t="s">
        <v>1283</v>
      </c>
      <c r="T580" s="1"/>
      <c r="U580" s="24"/>
      <c r="V580" s="116" t="b">
        <f>OR(B580=$V$1,D580=$V$1,B580="2"&amp;$V$1)</f>
        <v>1</v>
      </c>
      <c r="W580" s="1" t="b">
        <f>OR(J580=$W$1,L580=$W$1,N580=$W$1,J580="2"&amp;$W$1,L580="2"&amp;$W$1,N580="2"&amp;$W$1)</f>
        <v>0</v>
      </c>
      <c r="Y580" s="25" t="str">
        <f>B580&amp;" + "&amp;D580&amp;IF(F580&lt;&gt;""," + "&amp;F580,"")&amp;"-&gt;"&amp;J580&amp;" + "&amp;L580&amp;IF(N580&lt;&gt;""," + "&amp;N580,"")</f>
        <v>O(1D) + O3-&gt;O2(a1) + O2</v>
      </c>
      <c r="Z580" s="29">
        <f>O580</f>
        <v>1.5E-17</v>
      </c>
    </row>
    <row r="581" spans="1:26" ht="22.5" customHeight="1" x14ac:dyDescent="0.25">
      <c r="A581" s="1" t="s">
        <v>1298</v>
      </c>
      <c r="B581" s="1" t="s">
        <v>839</v>
      </c>
      <c r="C581" s="2" t="s">
        <v>0</v>
      </c>
      <c r="D581" s="1" t="s">
        <v>723</v>
      </c>
      <c r="E581" s="2"/>
      <c r="F581" s="3"/>
      <c r="G581" s="4" t="s">
        <v>7</v>
      </c>
      <c r="H581" s="112" t="s">
        <v>1559</v>
      </c>
      <c r="I581" s="4" t="s">
        <v>7</v>
      </c>
      <c r="J581" s="1" t="s">
        <v>1485</v>
      </c>
      <c r="K581" s="2" t="s">
        <v>0</v>
      </c>
      <c r="L581" s="1" t="s">
        <v>649</v>
      </c>
      <c r="M581" s="2"/>
      <c r="N581" s="125"/>
      <c r="O581" s="126">
        <f>7.7*10^-18</f>
        <v>7.7000000000000006E-18</v>
      </c>
      <c r="P581" s="146">
        <v>7.7000000000000006E-18</v>
      </c>
      <c r="Q581" s="118" t="s">
        <v>1302</v>
      </c>
      <c r="R581" s="1"/>
      <c r="S581" s="1" t="s">
        <v>1283</v>
      </c>
      <c r="T581" s="1"/>
      <c r="U581" s="24"/>
      <c r="V581" s="116" t="b">
        <f>OR(B581=$V$1,D581=$V$1,B581="2"&amp;$V$1)</f>
        <v>1</v>
      </c>
      <c r="W581" s="1" t="b">
        <f>OR(J581=$W$1,L581=$W$1,N581=$W$1,J581="2"&amp;$W$1,L581="2"&amp;$W$1,N581="2"&amp;$W$1)</f>
        <v>0</v>
      </c>
      <c r="Y581" s="25" t="str">
        <f>B581&amp;" + "&amp;D581&amp;IF(F581&lt;&gt;""," + "&amp;F581,"")&amp;"-&gt;"&amp;J581&amp;" + "&amp;L581&amp;IF(N581&lt;&gt;""," + "&amp;N581,"")</f>
        <v>O(1D) + O3-&gt;O2(b1) + O2</v>
      </c>
      <c r="Z581" s="29">
        <f>O581</f>
        <v>7.7000000000000006E-18</v>
      </c>
    </row>
    <row r="582" spans="1:26" ht="22.5" customHeight="1" x14ac:dyDescent="0.25">
      <c r="A582" s="1" t="s">
        <v>1299</v>
      </c>
      <c r="B582" s="1" t="s">
        <v>839</v>
      </c>
      <c r="C582" s="2" t="s">
        <v>0</v>
      </c>
      <c r="D582" s="1" t="s">
        <v>723</v>
      </c>
      <c r="E582" s="2"/>
      <c r="F582" s="3"/>
      <c r="G582" s="4" t="s">
        <v>7</v>
      </c>
      <c r="H582" s="112" t="s">
        <v>1559</v>
      </c>
      <c r="I582" s="4" t="s">
        <v>7</v>
      </c>
      <c r="J582" s="1" t="s">
        <v>1300</v>
      </c>
      <c r="K582" s="2" t="s">
        <v>0</v>
      </c>
      <c r="L582" s="1" t="s">
        <v>649</v>
      </c>
      <c r="M582" s="2"/>
      <c r="N582" s="125"/>
      <c r="O582" s="126">
        <f>7.4*10^-17</f>
        <v>7.4000000000000007E-17</v>
      </c>
      <c r="P582" s="146">
        <v>7.4000000000000007E-17</v>
      </c>
      <c r="Q582" s="118" t="s">
        <v>1303</v>
      </c>
      <c r="R582" s="1"/>
      <c r="S582" s="1" t="s">
        <v>1283</v>
      </c>
      <c r="T582" s="1"/>
      <c r="U582" s="24"/>
      <c r="V582" s="116" t="b">
        <f>OR(B582=$V$1,D582=$V$1,B582="2"&amp;$V$1)</f>
        <v>1</v>
      </c>
      <c r="W582" s="1" t="b">
        <f>OR(J582=$W$1,L582=$W$1,N582=$W$1,J582="2"&amp;$W$1,L582="2"&amp;$W$1,N582="2"&amp;$W$1)</f>
        <v>0</v>
      </c>
      <c r="Y582" s="25" t="str">
        <f>B582&amp;" + "&amp;D582&amp;IF(F582&lt;&gt;""," + "&amp;F582,"")&amp;"-&gt;"&amp;J582&amp;" + "&amp;L582&amp;IF(N582&lt;&gt;""," + "&amp;N582,"")</f>
        <v>O(1D) + O3-&gt;O2(4.5) + O2</v>
      </c>
      <c r="Z582" s="29">
        <f>O582</f>
        <v>7.4000000000000007E-17</v>
      </c>
    </row>
    <row r="583" spans="1:26" ht="22.5" customHeight="1" x14ac:dyDescent="0.25">
      <c r="A583" s="1" t="s">
        <v>573</v>
      </c>
      <c r="B583" s="1" t="s">
        <v>839</v>
      </c>
      <c r="C583" s="2" t="s">
        <v>0</v>
      </c>
      <c r="D583" s="22" t="s">
        <v>689</v>
      </c>
      <c r="E583" s="2"/>
      <c r="F583" s="3"/>
      <c r="G583" s="4" t="s">
        <v>7</v>
      </c>
      <c r="H583" s="112" t="s">
        <v>1559</v>
      </c>
      <c r="I583" s="4" t="s">
        <v>7</v>
      </c>
      <c r="J583" s="119" t="s">
        <v>639</v>
      </c>
      <c r="K583" s="2" t="s">
        <v>0</v>
      </c>
      <c r="L583" s="22" t="s">
        <v>689</v>
      </c>
      <c r="M583" s="2"/>
      <c r="N583" s="125"/>
      <c r="O583" s="126">
        <f>1.8*10^-17*EXP(107/Tg)</f>
        <v>2.5623427543702429E-17</v>
      </c>
      <c r="P583" s="146">
        <v>2.5623427543702429E-17</v>
      </c>
      <c r="Q583" s="118" t="s">
        <v>1203</v>
      </c>
      <c r="R583" s="1"/>
      <c r="S583" s="1" t="s">
        <v>1050</v>
      </c>
      <c r="T583" s="1"/>
      <c r="U583" s="24" t="s">
        <v>1034</v>
      </c>
      <c r="V583" s="116" t="b">
        <f>OR(B583=$V$1,D583=$V$1,B583="2"&amp;$V$1)</f>
        <v>1</v>
      </c>
      <c r="W583" s="1" t="b">
        <f>OR(J583=$W$1,L583=$W$1,N583=$W$1,J583="2"&amp;$W$1,L583="2"&amp;$W$1,N583="2"&amp;$W$1)</f>
        <v>0</v>
      </c>
      <c r="Y583" s="25" t="str">
        <f>B583&amp;" + "&amp;D583&amp;IF(F583&lt;&gt;""," + "&amp;F583,"")&amp;"-&gt;"&amp;J583&amp;" + "&amp;L583&amp;IF(N583&lt;&gt;""," + "&amp;N583,"")</f>
        <v>O(1D) + N2-&gt;O + N2</v>
      </c>
      <c r="Z583" s="29">
        <f>O583</f>
        <v>2.5623427543702429E-17</v>
      </c>
    </row>
    <row r="584" spans="1:26" ht="22.5" customHeight="1" x14ac:dyDescent="0.25">
      <c r="A584" s="1" t="s">
        <v>574</v>
      </c>
      <c r="B584" s="1" t="s">
        <v>839</v>
      </c>
      <c r="C584" s="2" t="s">
        <v>0</v>
      </c>
      <c r="D584" s="22" t="s">
        <v>689</v>
      </c>
      <c r="E584" s="2" t="s">
        <v>0</v>
      </c>
      <c r="F584" s="22" t="s">
        <v>687</v>
      </c>
      <c r="G584" s="4" t="s">
        <v>7</v>
      </c>
      <c r="H584" s="112" t="s">
        <v>1631</v>
      </c>
      <c r="I584" s="4" t="s">
        <v>7</v>
      </c>
      <c r="J584" s="124" t="s">
        <v>1259</v>
      </c>
      <c r="K584" s="2" t="s">
        <v>0</v>
      </c>
      <c r="L584" s="22" t="s">
        <v>687</v>
      </c>
      <c r="M584" s="2"/>
      <c r="N584" s="125"/>
      <c r="O584" s="126">
        <f>9*10^-49*NM</f>
        <v>2.4300000000000004E-23</v>
      </c>
      <c r="P584" s="146">
        <v>2.4300000000000004E-23</v>
      </c>
      <c r="Q584" s="118" t="s">
        <v>1204</v>
      </c>
      <c r="R584" s="1"/>
      <c r="S584" s="1" t="s">
        <v>1049</v>
      </c>
      <c r="T584" s="1"/>
      <c r="U584" s="24" t="s">
        <v>1036</v>
      </c>
      <c r="V584" s="116" t="b">
        <f>OR(B584=$V$1,D584=$V$1,B584="2"&amp;$V$1)</f>
        <v>1</v>
      </c>
      <c r="W584" s="1" t="b">
        <f>OR(J584=$W$1,L584=$W$1,N584=$W$1,J584="2"&amp;$W$1,L584="2"&amp;$W$1,N584="2"&amp;$W$1)</f>
        <v>0</v>
      </c>
      <c r="Y584" s="25" t="str">
        <f>B584&amp;" + "&amp;D584&amp;IF(F584&lt;&gt;""," + "&amp;F584,"")&amp;"-&gt;"&amp;J584&amp;" + "&amp;L584&amp;IF(N584&lt;&gt;""," + "&amp;N584,"")</f>
        <v>O(1D) + N2 + M-&gt;N2O + M</v>
      </c>
      <c r="Z584" s="29">
        <f>O584</f>
        <v>2.4300000000000004E-23</v>
      </c>
    </row>
    <row r="585" spans="1:26" ht="22.5" customHeight="1" x14ac:dyDescent="0.25">
      <c r="A585" s="1" t="s">
        <v>575</v>
      </c>
      <c r="B585" s="1" t="s">
        <v>839</v>
      </c>
      <c r="C585" s="2" t="s">
        <v>0</v>
      </c>
      <c r="D585" s="22" t="s">
        <v>738</v>
      </c>
      <c r="E585" s="2"/>
      <c r="F585" s="3"/>
      <c r="G585" s="4" t="s">
        <v>7</v>
      </c>
      <c r="H585" s="112" t="s">
        <v>1559</v>
      </c>
      <c r="I585" s="4" t="s">
        <v>7</v>
      </c>
      <c r="J585" s="124" t="s">
        <v>3</v>
      </c>
      <c r="K585" s="2" t="s">
        <v>0</v>
      </c>
      <c r="L585" s="1" t="s">
        <v>649</v>
      </c>
      <c r="M585" s="2"/>
      <c r="N585" s="125"/>
      <c r="O585" s="126">
        <f>4.4*10^-17</f>
        <v>4.4000000000000006E-17</v>
      </c>
      <c r="P585" s="146">
        <v>4.4000000000000006E-17</v>
      </c>
      <c r="Q585" s="118" t="s">
        <v>1105</v>
      </c>
      <c r="R585" s="1"/>
      <c r="S585" s="1" t="s">
        <v>1050</v>
      </c>
      <c r="T585" s="1"/>
      <c r="U585" s="24" t="s">
        <v>1034</v>
      </c>
      <c r="V585" s="116" t="b">
        <f>OR(B585=$V$1,D585=$V$1,B585="2"&amp;$V$1)</f>
        <v>1</v>
      </c>
      <c r="W585" s="1" t="b">
        <f>OR(J585=$W$1,L585=$W$1,N585=$W$1,J585="2"&amp;$W$1,L585="2"&amp;$W$1,N585="2"&amp;$W$1)</f>
        <v>0</v>
      </c>
      <c r="Y585" s="25" t="str">
        <f>B585&amp;" + "&amp;D585&amp;IF(F585&lt;&gt;""," + "&amp;F585,"")&amp;"-&gt;"&amp;J585&amp;" + "&amp;L585&amp;IF(N585&lt;&gt;""," + "&amp;N585,"")</f>
        <v>O(1D) + N2O-&gt;N2 + O2</v>
      </c>
      <c r="Z585" s="29">
        <f>O585</f>
        <v>4.4000000000000006E-17</v>
      </c>
    </row>
    <row r="586" spans="1:26" ht="22.5" customHeight="1" x14ac:dyDescent="0.25">
      <c r="A586" s="1" t="s">
        <v>1317</v>
      </c>
      <c r="B586" s="1" t="s">
        <v>688</v>
      </c>
      <c r="C586" s="2" t="s">
        <v>0</v>
      </c>
      <c r="D586" s="22" t="s">
        <v>740</v>
      </c>
      <c r="E586" s="2"/>
      <c r="F586" s="22"/>
      <c r="G586" s="4" t="s">
        <v>7</v>
      </c>
      <c r="H586" s="112" t="s">
        <v>1559</v>
      </c>
      <c r="I586" s="4" t="s">
        <v>7</v>
      </c>
      <c r="J586" s="124" t="s">
        <v>1418</v>
      </c>
      <c r="K586" s="2" t="s">
        <v>0</v>
      </c>
      <c r="L586" s="124" t="s">
        <v>637</v>
      </c>
      <c r="M586" s="2"/>
      <c r="N586" s="132"/>
      <c r="O586" s="126">
        <f>2.71*10^-17*Tg^-0.23*EXP(-947/Tg)</f>
        <v>3.1980707403717962E-19</v>
      </c>
      <c r="P586" s="146">
        <v>3.1980707403717962E-19</v>
      </c>
      <c r="Q586" s="118" t="s">
        <v>1318</v>
      </c>
      <c r="R586" s="1"/>
      <c r="S586" s="1" t="s">
        <v>1283</v>
      </c>
      <c r="T586" s="1"/>
      <c r="U586" s="24"/>
      <c r="V586" s="116" t="b">
        <f>OR(B586=$V$1,D586=$V$1,B586="2"&amp;$V$1)</f>
        <v>0</v>
      </c>
      <c r="W586" s="1" t="b">
        <f>OR(J586=$W$1,L586=$W$1,N586=$W$1,J586="2"&amp;$W$1,L586="2"&amp;$W$1,N586="2"&amp;$W$1)</f>
        <v>0</v>
      </c>
      <c r="Y586" s="25" t="str">
        <f>B586&amp;" + "&amp;D586&amp;IF(F586&lt;&gt;""," + "&amp;F586,"")&amp;"-&gt;"&amp;J586&amp;" + "&amp;L586&amp;IF(N586&lt;&gt;""," + "&amp;N586,"")</f>
        <v>NO + NO3-&gt;2NO + O2</v>
      </c>
      <c r="Z586" s="29">
        <f>O586</f>
        <v>3.1980707403717962E-19</v>
      </c>
    </row>
    <row r="587" spans="1:26" ht="22.5" customHeight="1" x14ac:dyDescent="0.25">
      <c r="A587" s="1" t="s">
        <v>1292</v>
      </c>
      <c r="B587" s="1" t="s">
        <v>839</v>
      </c>
      <c r="C587" s="2" t="s">
        <v>0</v>
      </c>
      <c r="D587" s="22" t="s">
        <v>738</v>
      </c>
      <c r="E587" s="2"/>
      <c r="F587" s="22"/>
      <c r="G587" s="4" t="s">
        <v>7</v>
      </c>
      <c r="H587" s="112" t="s">
        <v>1559</v>
      </c>
      <c r="I587" s="4" t="s">
        <v>7</v>
      </c>
      <c r="J587" s="119" t="s">
        <v>639</v>
      </c>
      <c r="K587" s="2" t="s">
        <v>0</v>
      </c>
      <c r="L587" s="22" t="s">
        <v>738</v>
      </c>
      <c r="M587" s="2"/>
      <c r="N587" s="125"/>
      <c r="O587" s="126">
        <f>10^-18</f>
        <v>1.0000000000000001E-18</v>
      </c>
      <c r="P587" s="146">
        <v>1.0000000000000001E-18</v>
      </c>
      <c r="Q587" s="118" t="s">
        <v>1293</v>
      </c>
      <c r="R587" s="1"/>
      <c r="S587" s="1" t="s">
        <v>1283</v>
      </c>
      <c r="T587" s="1"/>
      <c r="U587" s="24"/>
      <c r="V587" s="116" t="b">
        <f>OR(B587=$V$1,D587=$V$1,B587="2"&amp;$V$1)</f>
        <v>1</v>
      </c>
      <c r="W587" s="1" t="b">
        <f>OR(J587=$W$1,L587=$W$1,N587=$W$1,J587="2"&amp;$W$1,L587="2"&amp;$W$1,N587="2"&amp;$W$1)</f>
        <v>0</v>
      </c>
      <c r="Y587" s="25" t="str">
        <f>B587&amp;" + "&amp;D587&amp;IF(F587&lt;&gt;""," + "&amp;F587,"")&amp;"-&gt;"&amp;J587&amp;" + "&amp;L587&amp;IF(N587&lt;&gt;""," + "&amp;N587,"")</f>
        <v>O(1D) + N2O-&gt;O + N2O</v>
      </c>
      <c r="Z587" s="29">
        <f>O587</f>
        <v>1.0000000000000001E-18</v>
      </c>
    </row>
    <row r="588" spans="1:26" ht="22.5" customHeight="1" x14ac:dyDescent="0.25">
      <c r="A588" s="1" t="s">
        <v>555</v>
      </c>
      <c r="B588" s="1" t="s">
        <v>639</v>
      </c>
      <c r="C588" s="2" t="s">
        <v>0</v>
      </c>
      <c r="D588" s="1" t="s">
        <v>649</v>
      </c>
      <c r="E588" s="2" t="s">
        <v>0</v>
      </c>
      <c r="F588" s="22" t="s">
        <v>687</v>
      </c>
      <c r="G588" s="4" t="s">
        <v>7</v>
      </c>
      <c r="H588" s="112" t="s">
        <v>1631</v>
      </c>
      <c r="I588" s="4" t="s">
        <v>7</v>
      </c>
      <c r="J588" s="119" t="s">
        <v>638</v>
      </c>
      <c r="K588" s="2" t="s">
        <v>0</v>
      </c>
      <c r="L588" s="22" t="s">
        <v>687</v>
      </c>
      <c r="M588" s="2"/>
      <c r="N588" s="125"/>
      <c r="O588" s="126">
        <f>NM*(3.4*(300)^1.2)*Tg^-1.2*(10^-46)</f>
        <v>9.0710389688801021E-21</v>
      </c>
      <c r="P588" s="146">
        <v>9.0710389688801021E-21</v>
      </c>
      <c r="Q588" s="118" t="s">
        <v>1189</v>
      </c>
      <c r="R588" s="1"/>
      <c r="S588" s="1" t="s">
        <v>1049</v>
      </c>
      <c r="T588" s="1"/>
      <c r="U588" s="24" t="s">
        <v>1034</v>
      </c>
      <c r="V588" s="116" t="b">
        <f>OR(B588=$V$1,D588=$V$1,B588="2"&amp;$V$1)</f>
        <v>0</v>
      </c>
      <c r="W588" s="1" t="b">
        <f>OR(J588=$W$1,L588=$W$1,N588=$W$1,J588="2"&amp;$W$1,L588="2"&amp;$W$1,N588="2"&amp;$W$1)</f>
        <v>0</v>
      </c>
      <c r="Y588" s="25" t="str">
        <f>B588&amp;" + "&amp;D588&amp;IF(F588&lt;&gt;""," + "&amp;F588,"")&amp;"-&gt;"&amp;J588&amp;" + "&amp;L588&amp;IF(N588&lt;&gt;""," + "&amp;N588,"")</f>
        <v>O + O2 + M-&gt;O3 + M</v>
      </c>
      <c r="Z588" s="29">
        <f>O588</f>
        <v>9.0710389688801021E-21</v>
      </c>
    </row>
    <row r="589" spans="1:26" ht="22.5" customHeight="1" x14ac:dyDescent="0.25">
      <c r="A589" s="1" t="s">
        <v>1294</v>
      </c>
      <c r="B589" s="1" t="s">
        <v>839</v>
      </c>
      <c r="C589" s="2" t="s">
        <v>0</v>
      </c>
      <c r="D589" s="22" t="s">
        <v>688</v>
      </c>
      <c r="E589" s="2"/>
      <c r="F589" s="3"/>
      <c r="G589" s="4" t="s">
        <v>7</v>
      </c>
      <c r="H589" s="112" t="s">
        <v>1559</v>
      </c>
      <c r="I589" s="4" t="s">
        <v>7</v>
      </c>
      <c r="J589" s="119" t="s">
        <v>637</v>
      </c>
      <c r="K589" s="2" t="s">
        <v>0</v>
      </c>
      <c r="L589" s="22" t="s">
        <v>636</v>
      </c>
      <c r="M589" s="2"/>
      <c r="N589" s="125"/>
      <c r="O589" s="126">
        <f>8.5*10^-17</f>
        <v>8.5000000000000001E-17</v>
      </c>
      <c r="P589" s="146">
        <v>8.5000000000000001E-17</v>
      </c>
      <c r="Q589" s="118" t="s">
        <v>1295</v>
      </c>
      <c r="R589" s="1"/>
      <c r="S589" s="1" t="s">
        <v>1283</v>
      </c>
      <c r="T589" s="1"/>
      <c r="U589" s="24"/>
      <c r="V589" s="116" t="b">
        <f>OR(B589=$V$1,D589=$V$1,B589="2"&amp;$V$1)</f>
        <v>1</v>
      </c>
      <c r="W589" s="1" t="b">
        <f>OR(J589=$W$1,L589=$W$1,N589=$W$1,J589="2"&amp;$W$1,L589="2"&amp;$W$1,N589="2"&amp;$W$1)</f>
        <v>0</v>
      </c>
      <c r="Y589" s="25" t="str">
        <f>B589&amp;" + "&amp;D589&amp;IF(F589&lt;&gt;""," + "&amp;F589,"")&amp;"-&gt;"&amp;J589&amp;" + "&amp;L589&amp;IF(N589&lt;&gt;""," + "&amp;N589,"")</f>
        <v>O(1D) + NO-&gt;O2 + N</v>
      </c>
      <c r="Z589" s="29">
        <f>O589</f>
        <v>8.5000000000000001E-17</v>
      </c>
    </row>
    <row r="590" spans="1:26" ht="22.5" customHeight="1" x14ac:dyDescent="0.25">
      <c r="A590" s="1" t="s">
        <v>556</v>
      </c>
      <c r="B590" s="1" t="s">
        <v>639</v>
      </c>
      <c r="C590" s="2" t="s">
        <v>0</v>
      </c>
      <c r="D590" s="1" t="s">
        <v>723</v>
      </c>
      <c r="E590" s="2"/>
      <c r="F590" s="3"/>
      <c r="G590" s="4" t="s">
        <v>7</v>
      </c>
      <c r="H590" s="112" t="s">
        <v>1559</v>
      </c>
      <c r="I590" s="4" t="s">
        <v>7</v>
      </c>
      <c r="J590" s="119" t="s">
        <v>1409</v>
      </c>
      <c r="K590" s="2"/>
      <c r="L590" s="1"/>
      <c r="M590" s="2"/>
      <c r="N590" s="125"/>
      <c r="O590" s="126">
        <f>8*10^-18*EXP(-2060/Tg)</f>
        <v>8.9219715921215479E-21</v>
      </c>
      <c r="P590" s="146">
        <v>8.9219715921215479E-21</v>
      </c>
      <c r="Q590" s="118" t="s">
        <v>1190</v>
      </c>
      <c r="R590" s="1"/>
      <c r="S590" s="1" t="s">
        <v>1049</v>
      </c>
      <c r="T590" s="1"/>
      <c r="U590" s="24" t="s">
        <v>1034</v>
      </c>
      <c r="V590" s="116" t="b">
        <f>OR(B590=$V$1,D590=$V$1,B590="2"&amp;$V$1)</f>
        <v>0</v>
      </c>
      <c r="W590" s="1" t="b">
        <f>OR(J590=$W$1,L590=$W$1,N590=$W$1,J590="2"&amp;$W$1,L590="2"&amp;$W$1,N590="2"&amp;$W$1)</f>
        <v>0</v>
      </c>
      <c r="Y590" s="25" t="str">
        <f>B590&amp;" + "&amp;D590&amp;IF(F590&lt;&gt;""," + "&amp;F590,"")&amp;"-&gt;"&amp;J590&amp;" + "&amp;L590&amp;IF(N590&lt;&gt;""," + "&amp;N590,"")</f>
        <v xml:space="preserve">O + O3-&gt;2O2 + </v>
      </c>
      <c r="Z590" s="29">
        <f>O590</f>
        <v>8.9219715921215479E-21</v>
      </c>
    </row>
    <row r="591" spans="1:26" ht="22.5" customHeight="1" x14ac:dyDescent="0.25">
      <c r="A591" s="1" t="s">
        <v>579</v>
      </c>
      <c r="B591" s="1" t="s">
        <v>839</v>
      </c>
      <c r="C591" s="2" t="s">
        <v>0</v>
      </c>
      <c r="D591" s="3" t="s">
        <v>640</v>
      </c>
      <c r="E591" s="2"/>
      <c r="F591" s="22"/>
      <c r="G591" s="4" t="s">
        <v>7</v>
      </c>
      <c r="H591" s="112" t="s">
        <v>1559</v>
      </c>
      <c r="I591" s="4" t="s">
        <v>7</v>
      </c>
      <c r="J591" s="119" t="s">
        <v>654</v>
      </c>
      <c r="K591" s="2" t="s">
        <v>0</v>
      </c>
      <c r="L591" s="22" t="s">
        <v>653</v>
      </c>
      <c r="M591" s="2"/>
      <c r="N591" s="125"/>
      <c r="O591" s="126">
        <f>1.1*10^-16</f>
        <v>1.1000000000000001E-16</v>
      </c>
      <c r="P591" s="146">
        <v>1.1000000000000001E-16</v>
      </c>
      <c r="Q591" s="118" t="s">
        <v>1207</v>
      </c>
      <c r="R591" s="1"/>
      <c r="S591" s="1" t="s">
        <v>1049</v>
      </c>
      <c r="T591" s="1"/>
      <c r="U591" s="24" t="s">
        <v>1036</v>
      </c>
      <c r="V591" s="116" t="b">
        <f>OR(B591=$V$1,D591=$V$1,B591="2"&amp;$V$1)</f>
        <v>1</v>
      </c>
      <c r="W591" s="1" t="b">
        <f>OR(J591=$W$1,L591=$W$1,N591=$W$1,J591="2"&amp;$W$1,L591="2"&amp;$W$1,N591="2"&amp;$W$1)</f>
        <v>0</v>
      </c>
      <c r="Y591" s="25" t="str">
        <f>B591&amp;" + "&amp;D591&amp;IF(F591&lt;&gt;""," + "&amp;F591,"")&amp;"-&gt;"&amp;J591&amp;" + "&amp;L591&amp;IF(N591&lt;&gt;""," + "&amp;N591,"")</f>
        <v>O(1D) + H2-&gt;OH + H</v>
      </c>
      <c r="Z591" s="29">
        <f>O591</f>
        <v>1.1000000000000001E-16</v>
      </c>
    </row>
    <row r="592" spans="1:26" ht="22.5" customHeight="1" x14ac:dyDescent="0.25">
      <c r="A592" s="1" t="s">
        <v>580</v>
      </c>
      <c r="B592" s="1" t="s">
        <v>839</v>
      </c>
      <c r="C592" s="2" t="s">
        <v>0</v>
      </c>
      <c r="D592" s="3" t="s">
        <v>641</v>
      </c>
      <c r="E592" s="2"/>
      <c r="F592" s="22"/>
      <c r="G592" s="4" t="s">
        <v>7</v>
      </c>
      <c r="H592" s="112" t="s">
        <v>1559</v>
      </c>
      <c r="I592" s="4" t="s">
        <v>7</v>
      </c>
      <c r="J592" s="119" t="s">
        <v>1423</v>
      </c>
      <c r="K592" s="2"/>
      <c r="L592" s="22"/>
      <c r="M592" s="2"/>
      <c r="N592" s="125"/>
      <c r="O592" s="130">
        <f>2.2*10^-16</f>
        <v>2.2000000000000002E-16</v>
      </c>
      <c r="P592" s="148">
        <v>2.2000000000000002E-16</v>
      </c>
      <c r="Q592" s="118" t="s">
        <v>1208</v>
      </c>
      <c r="R592" s="1"/>
      <c r="S592" s="1" t="s">
        <v>1049</v>
      </c>
      <c r="T592" s="1"/>
      <c r="U592" s="24" t="s">
        <v>1037</v>
      </c>
      <c r="V592" s="116" t="b">
        <f>OR(B592=$V$1,D592=$V$1,B592="2"&amp;$V$1)</f>
        <v>1</v>
      </c>
      <c r="W592" s="1" t="b">
        <f>OR(J592=$W$1,L592=$W$1,N592=$W$1,J592="2"&amp;$W$1,L592="2"&amp;$W$1,N592="2"&amp;$W$1)</f>
        <v>0</v>
      </c>
      <c r="Y592" s="25" t="str">
        <f>B592&amp;" + "&amp;D592&amp;IF(F592&lt;&gt;""," + "&amp;F592,"")&amp;"-&gt;"&amp;J592&amp;" + "&amp;L592&amp;IF(N592&lt;&gt;""," + "&amp;N592,"")</f>
        <v xml:space="preserve">O(1D) + H2O-&gt;2OH + </v>
      </c>
      <c r="Z592" s="29">
        <f>O592</f>
        <v>2.2000000000000002E-16</v>
      </c>
    </row>
    <row r="593" spans="1:26" ht="22.5" customHeight="1" x14ac:dyDescent="0.25">
      <c r="A593" s="1" t="s">
        <v>1285</v>
      </c>
      <c r="B593" s="1" t="s">
        <v>1411</v>
      </c>
      <c r="C593" s="2" t="s">
        <v>0</v>
      </c>
      <c r="D593" s="22" t="s">
        <v>687</v>
      </c>
      <c r="E593" s="2"/>
      <c r="F593" s="3"/>
      <c r="G593" s="4" t="s">
        <v>7</v>
      </c>
      <c r="H593" s="112" t="s">
        <v>1559</v>
      </c>
      <c r="I593" s="4" t="s">
        <v>7</v>
      </c>
      <c r="J593" s="119" t="s">
        <v>1274</v>
      </c>
      <c r="K593" s="2" t="s">
        <v>0</v>
      </c>
      <c r="L593" s="22" t="s">
        <v>687</v>
      </c>
      <c r="M593" s="2"/>
      <c r="N593" s="125"/>
      <c r="O593" s="126">
        <f>1.2*10^-46*NM</f>
        <v>3.2400000000000008E-21</v>
      </c>
      <c r="P593" s="146">
        <v>3.2400000000000008E-21</v>
      </c>
      <c r="Q593" s="118" t="s">
        <v>1284</v>
      </c>
      <c r="R593" s="1"/>
      <c r="S593" s="1" t="s">
        <v>1283</v>
      </c>
      <c r="T593" s="1"/>
      <c r="U593" s="24"/>
      <c r="V593" s="116" t="b">
        <f>OR(B593=$V$1,D593=$V$1,B593="2"&amp;$V$1)</f>
        <v>0</v>
      </c>
      <c r="W593" s="1" t="b">
        <f>OR(J593=$W$1,L593=$W$1,N593=$W$1,J593="2"&amp;$W$1,L593="2"&amp;$W$1,N593="2"&amp;$W$1)</f>
        <v>0</v>
      </c>
      <c r="Y593" s="25" t="str">
        <f>B593&amp;" + "&amp;D593&amp;IF(F593&lt;&gt;""," + "&amp;F593,"")&amp;"-&gt;"&amp;J593&amp;" + "&amp;L593&amp;IF(N593&lt;&gt;""," + "&amp;N593,"")</f>
        <v>2O + M-&gt;O2(4.5) + M</v>
      </c>
      <c r="Z593" s="29">
        <f>O593</f>
        <v>3.2400000000000008E-21</v>
      </c>
    </row>
    <row r="594" spans="1:26" ht="22.5" customHeight="1" x14ac:dyDescent="0.25">
      <c r="A594" s="1" t="s">
        <v>1497</v>
      </c>
      <c r="B594" s="1" t="s">
        <v>1485</v>
      </c>
      <c r="C594" s="2" t="s">
        <v>0</v>
      </c>
      <c r="D594" s="22" t="s">
        <v>689</v>
      </c>
      <c r="E594" s="2"/>
      <c r="F594" s="3"/>
      <c r="G594" s="4" t="s">
        <v>7</v>
      </c>
      <c r="H594" s="112" t="s">
        <v>1559</v>
      </c>
      <c r="I594" s="4" t="s">
        <v>7</v>
      </c>
      <c r="J594" s="119" t="s">
        <v>637</v>
      </c>
      <c r="K594" s="2" t="s">
        <v>0</v>
      </c>
      <c r="L594" s="22" t="s">
        <v>689</v>
      </c>
      <c r="M594" s="2"/>
      <c r="N594" s="125"/>
      <c r="O594" s="126">
        <f>2*10^-21</f>
        <v>1.9999999999999998E-21</v>
      </c>
      <c r="P594" s="146">
        <v>1.9999999999999998E-21</v>
      </c>
      <c r="Q594" s="118" t="s">
        <v>1309</v>
      </c>
      <c r="R594" s="1"/>
      <c r="S594" s="1" t="s">
        <v>1283</v>
      </c>
      <c r="T594" s="1"/>
      <c r="U594" s="24"/>
      <c r="V594" s="116" t="b">
        <f>OR(B594=$V$1,D594=$V$1,B594="2"&amp;$V$1)</f>
        <v>0</v>
      </c>
      <c r="W594" s="1" t="b">
        <f>OR(J594=$W$1,L594=$W$1,N594=$W$1,J594="2"&amp;$W$1,L594="2"&amp;$W$1,N594="2"&amp;$W$1)</f>
        <v>0</v>
      </c>
      <c r="Y594" s="25" t="str">
        <f>B594&amp;" + "&amp;D594&amp;IF(F594&lt;&gt;""," + "&amp;F594,"")&amp;"-&gt;"&amp;J594&amp;" + "&amp;L594&amp;IF(N594&lt;&gt;""," + "&amp;N594,"")</f>
        <v>O2(b1) + N2-&gt;O2 + N2</v>
      </c>
      <c r="Z594" s="29">
        <f>O594</f>
        <v>1.9999999999999998E-21</v>
      </c>
    </row>
    <row r="595" spans="1:26" ht="22.5" customHeight="1" x14ac:dyDescent="0.25">
      <c r="A595" s="1" t="s">
        <v>1496</v>
      </c>
      <c r="B595" s="1" t="s">
        <v>1485</v>
      </c>
      <c r="C595" s="2" t="s">
        <v>0</v>
      </c>
      <c r="D595" s="1" t="s">
        <v>649</v>
      </c>
      <c r="E595" s="2"/>
      <c r="F595" s="3"/>
      <c r="G595" s="4" t="s">
        <v>7</v>
      </c>
      <c r="H595" s="112" t="s">
        <v>1559</v>
      </c>
      <c r="I595" s="4" t="s">
        <v>7</v>
      </c>
      <c r="J595" s="119" t="s">
        <v>1409</v>
      </c>
      <c r="K595" s="2"/>
      <c r="L595" s="1"/>
      <c r="M595" s="2"/>
      <c r="N595" s="125"/>
      <c r="O595" s="126">
        <f>4*10^-23</f>
        <v>4.0000000000000004E-23</v>
      </c>
      <c r="P595" s="146">
        <v>4.0000000000000004E-23</v>
      </c>
      <c r="Q595" s="118" t="s">
        <v>1308</v>
      </c>
      <c r="R595" s="1"/>
      <c r="S595" s="1" t="s">
        <v>1283</v>
      </c>
      <c r="T595" s="1"/>
      <c r="U595" s="24"/>
      <c r="V595" s="116" t="b">
        <f>OR(B595=$V$1,D595=$V$1,B595="2"&amp;$V$1)</f>
        <v>0</v>
      </c>
      <c r="W595" s="1" t="b">
        <f>OR(J595=$W$1,L595=$W$1,N595=$W$1,J595="2"&amp;$W$1,L595="2"&amp;$W$1,N595="2"&amp;$W$1)</f>
        <v>0</v>
      </c>
      <c r="Y595" s="25" t="str">
        <f>B595&amp;" + "&amp;D595&amp;IF(F595&lt;&gt;""," + "&amp;F595,"")&amp;"-&gt;"&amp;J595&amp;" + "&amp;L595&amp;IF(N595&lt;&gt;""," + "&amp;N595,"")</f>
        <v xml:space="preserve">O2(b1) + O2-&gt;2O2 + </v>
      </c>
      <c r="Z595" s="29">
        <f>O595</f>
        <v>4.0000000000000004E-23</v>
      </c>
    </row>
    <row r="596" spans="1:26" ht="22.5" customHeight="1" x14ac:dyDescent="0.25">
      <c r="A596" s="1" t="s">
        <v>1305</v>
      </c>
      <c r="B596" s="1" t="s">
        <v>1485</v>
      </c>
      <c r="C596" s="2" t="s">
        <v>0</v>
      </c>
      <c r="D596" s="1" t="s">
        <v>723</v>
      </c>
      <c r="E596" s="2"/>
      <c r="F596" s="3"/>
      <c r="G596" s="4" t="s">
        <v>7</v>
      </c>
      <c r="H596" s="112" t="s">
        <v>1559</v>
      </c>
      <c r="I596" s="4" t="s">
        <v>7</v>
      </c>
      <c r="J596" s="119" t="s">
        <v>1409</v>
      </c>
      <c r="K596" s="2" t="s">
        <v>0</v>
      </c>
      <c r="L596" s="119" t="s">
        <v>639</v>
      </c>
      <c r="M596" s="2"/>
      <c r="N596" s="125"/>
      <c r="O596" s="126">
        <f>1.5*10^-17</f>
        <v>1.5E-17</v>
      </c>
      <c r="P596" s="146">
        <v>1.5E-17</v>
      </c>
      <c r="Q596" s="118" t="s">
        <v>1301</v>
      </c>
      <c r="R596" s="1"/>
      <c r="S596" s="1" t="s">
        <v>1283</v>
      </c>
      <c r="T596" s="1"/>
      <c r="U596" s="24"/>
      <c r="V596" s="116" t="b">
        <f>OR(B596=$V$1,D596=$V$1,B596="2"&amp;$V$1)</f>
        <v>0</v>
      </c>
      <c r="W596" s="1" t="b">
        <f>OR(J596=$W$1,L596=$W$1,N596=$W$1,J596="2"&amp;$W$1,L596="2"&amp;$W$1,N596="2"&amp;$W$1)</f>
        <v>0</v>
      </c>
      <c r="Y596" s="25" t="str">
        <f>B596&amp;" + "&amp;D596&amp;IF(F596&lt;&gt;""," + "&amp;F596,"")&amp;"-&gt;"&amp;J596&amp;" + "&amp;L596&amp;IF(N596&lt;&gt;""," + "&amp;N596,"")</f>
        <v>O2(b1) + O3-&gt;2O2 + O</v>
      </c>
      <c r="Z596" s="29">
        <f>O596</f>
        <v>1.5E-17</v>
      </c>
    </row>
    <row r="597" spans="1:26" ht="22.5" customHeight="1" x14ac:dyDescent="0.25">
      <c r="A597" s="1" t="s">
        <v>1306</v>
      </c>
      <c r="B597" s="1" t="s">
        <v>1485</v>
      </c>
      <c r="C597" s="2" t="s">
        <v>0</v>
      </c>
      <c r="D597" s="1" t="s">
        <v>723</v>
      </c>
      <c r="E597" s="2"/>
      <c r="F597" s="3"/>
      <c r="G597" s="4" t="s">
        <v>7</v>
      </c>
      <c r="H597" s="112" t="s">
        <v>1559</v>
      </c>
      <c r="I597" s="4" t="s">
        <v>7</v>
      </c>
      <c r="J597" s="1" t="s">
        <v>1484</v>
      </c>
      <c r="K597" s="2" t="s">
        <v>0</v>
      </c>
      <c r="L597" s="119" t="s">
        <v>637</v>
      </c>
      <c r="M597" s="2" t="s">
        <v>0</v>
      </c>
      <c r="N597" s="125" t="s">
        <v>639</v>
      </c>
      <c r="O597" s="126">
        <f>7*10^-18</f>
        <v>6.9999999999999997E-18</v>
      </c>
      <c r="P597" s="146">
        <v>6.9999999999999997E-18</v>
      </c>
      <c r="Q597" s="118" t="s">
        <v>1187</v>
      </c>
      <c r="R597" s="1"/>
      <c r="S597" s="1" t="s">
        <v>1283</v>
      </c>
      <c r="T597" s="1"/>
      <c r="U597" s="24"/>
      <c r="V597" s="116" t="b">
        <f>OR(B597=$V$1,D597=$V$1,B597="2"&amp;$V$1)</f>
        <v>0</v>
      </c>
      <c r="W597" s="1" t="b">
        <f>OR(J597=$W$1,L597=$W$1,N597=$W$1,J597="2"&amp;$W$1,L597="2"&amp;$W$1,N597="2"&amp;$W$1)</f>
        <v>0</v>
      </c>
      <c r="Y597" s="25" t="str">
        <f>B597&amp;" + "&amp;D597&amp;IF(F597&lt;&gt;""," + "&amp;F597,"")&amp;"-&gt;"&amp;J597&amp;" + "&amp;L597&amp;IF(N597&lt;&gt;""," + "&amp;N597,"")</f>
        <v>O2(b1) + O3-&gt;O2(a1) + O2 + O</v>
      </c>
      <c r="Z597" s="29">
        <f>O597</f>
        <v>6.9999999999999997E-18</v>
      </c>
    </row>
    <row r="598" spans="1:26" ht="22.5" customHeight="1" x14ac:dyDescent="0.25">
      <c r="A598" s="1" t="s">
        <v>585</v>
      </c>
      <c r="B598" s="1" t="s">
        <v>1484</v>
      </c>
      <c r="C598" s="2" t="s">
        <v>0</v>
      </c>
      <c r="D598" s="22" t="s">
        <v>689</v>
      </c>
      <c r="E598" s="2"/>
      <c r="F598" s="3"/>
      <c r="G598" s="4" t="s">
        <v>7</v>
      </c>
      <c r="H598" s="112" t="s">
        <v>1559</v>
      </c>
      <c r="I598" s="4" t="s">
        <v>7</v>
      </c>
      <c r="J598" s="119" t="s">
        <v>637</v>
      </c>
      <c r="K598" s="2" t="s">
        <v>0</v>
      </c>
      <c r="L598" s="22" t="s">
        <v>689</v>
      </c>
      <c r="M598" s="2"/>
      <c r="N598" s="125"/>
      <c r="O598" s="126">
        <f>1.5*10^-24</f>
        <v>1.5000000000000002E-24</v>
      </c>
      <c r="P598" s="146">
        <v>1.5000000000000002E-24</v>
      </c>
      <c r="Q598" s="118" t="s">
        <v>1495</v>
      </c>
      <c r="R598" s="1"/>
      <c r="S598" s="1" t="s">
        <v>1049</v>
      </c>
      <c r="T598" s="1"/>
      <c r="U598" s="24" t="s">
        <v>1036</v>
      </c>
      <c r="V598" s="116" t="b">
        <f>OR(B598=$V$1,D598=$V$1,B598="2"&amp;$V$1)</f>
        <v>0</v>
      </c>
      <c r="W598" s="1" t="b">
        <f>OR(J598=$W$1,L598=$W$1,N598=$W$1,J598="2"&amp;$W$1,L598="2"&amp;$W$1,N598="2"&amp;$W$1)</f>
        <v>0</v>
      </c>
      <c r="Y598" s="25" t="str">
        <f>B598&amp;" + "&amp;D598&amp;IF(F598&lt;&gt;""," + "&amp;F598,"")&amp;"-&gt;"&amp;J598&amp;" + "&amp;L598&amp;IF(N598&lt;&gt;""," + "&amp;N598,"")</f>
        <v>O2(a1) + N2-&gt;O2 + N2</v>
      </c>
      <c r="Z598" s="29">
        <f>O598</f>
        <v>1.5000000000000002E-24</v>
      </c>
    </row>
    <row r="599" spans="1:26" ht="22.5" customHeight="1" x14ac:dyDescent="0.25">
      <c r="A599" s="1" t="s">
        <v>581</v>
      </c>
      <c r="B599" s="1" t="s">
        <v>1484</v>
      </c>
      <c r="C599" s="2" t="s">
        <v>0</v>
      </c>
      <c r="D599" s="1" t="s">
        <v>649</v>
      </c>
      <c r="E599" s="2"/>
      <c r="F599" s="3"/>
      <c r="G599" s="4" t="s">
        <v>7</v>
      </c>
      <c r="H599" s="112" t="s">
        <v>1559</v>
      </c>
      <c r="I599" s="4" t="s">
        <v>7</v>
      </c>
      <c r="J599" s="119" t="s">
        <v>1409</v>
      </c>
      <c r="K599" s="2"/>
      <c r="L599" s="22"/>
      <c r="M599" s="2"/>
      <c r="N599" s="125"/>
      <c r="O599" s="126">
        <f>3.8*10^-24*EXP(-205/Tg)</f>
        <v>1.9317636809629389E-24</v>
      </c>
      <c r="P599" s="146">
        <v>1.9317636809629389E-24</v>
      </c>
      <c r="Q599" s="118" t="s">
        <v>1494</v>
      </c>
      <c r="R599" s="1"/>
      <c r="S599" s="1" t="s">
        <v>1049</v>
      </c>
      <c r="T599" s="1"/>
      <c r="U599" s="24" t="s">
        <v>691</v>
      </c>
      <c r="V599" s="116" t="b">
        <f>OR(B599=$V$1,D599=$V$1,B599="2"&amp;$V$1)</f>
        <v>0</v>
      </c>
      <c r="W599" s="1" t="b">
        <f>OR(J599=$W$1,L599=$W$1,N599=$W$1,J599="2"&amp;$W$1,L599="2"&amp;$W$1,N599="2"&amp;$W$1)</f>
        <v>0</v>
      </c>
      <c r="Y599" s="25" t="str">
        <f>B599&amp;" + "&amp;D599&amp;IF(F599&lt;&gt;""," + "&amp;F599,"")&amp;"-&gt;"&amp;J599&amp;" + "&amp;L599&amp;IF(N599&lt;&gt;""," + "&amp;N599,"")</f>
        <v xml:space="preserve">O2(a1) + O2-&gt;2O2 + </v>
      </c>
      <c r="Z599" s="29">
        <f>O599</f>
        <v>1.9317636809629389E-24</v>
      </c>
    </row>
    <row r="600" spans="1:26" ht="22.5" customHeight="1" x14ac:dyDescent="0.25">
      <c r="A600" s="1" t="s">
        <v>1286</v>
      </c>
      <c r="B600" s="1" t="s">
        <v>639</v>
      </c>
      <c r="C600" s="2" t="s">
        <v>0</v>
      </c>
      <c r="D600" s="1" t="s">
        <v>723</v>
      </c>
      <c r="E600" s="2"/>
      <c r="F600" s="3"/>
      <c r="G600" s="4" t="s">
        <v>7</v>
      </c>
      <c r="H600" s="112" t="s">
        <v>1559</v>
      </c>
      <c r="I600" s="4" t="s">
        <v>7</v>
      </c>
      <c r="J600" s="119" t="s">
        <v>1486</v>
      </c>
      <c r="K600" s="2" t="s">
        <v>0</v>
      </c>
      <c r="L600" s="1" t="s">
        <v>649</v>
      </c>
      <c r="M600" s="2"/>
      <c r="N600" s="125"/>
      <c r="O600" s="126">
        <f>6.3*10^-18*EXP(-2300/Tg)</f>
        <v>3.1821142567138571E-21</v>
      </c>
      <c r="P600" s="146">
        <v>3.1821142567138571E-21</v>
      </c>
      <c r="Q600" s="118" t="s">
        <v>1288</v>
      </c>
      <c r="R600" s="1"/>
      <c r="S600" s="1" t="s">
        <v>1283</v>
      </c>
      <c r="T600" s="1"/>
      <c r="U600" s="24"/>
      <c r="V600" s="116" t="b">
        <f>OR(B600=$V$1,D600=$V$1,B600="2"&amp;$V$1)</f>
        <v>0</v>
      </c>
      <c r="W600" s="1" t="b">
        <f>OR(J600=$W$1,L600=$W$1,N600=$W$1,J600="2"&amp;$W$1,L600="2"&amp;$W$1,N600="2"&amp;$W$1)</f>
        <v>0</v>
      </c>
      <c r="Y600" s="25" t="str">
        <f>B600&amp;" + "&amp;D600&amp;IF(F600&lt;&gt;""," + "&amp;F600,"")&amp;"-&gt;"&amp;J600&amp;" + "&amp;L600&amp;IF(N600&lt;&gt;""," + "&amp;N600,"")</f>
        <v>O + O3-&gt;O2(a1) + O2</v>
      </c>
      <c r="Z600" s="29">
        <f>O600</f>
        <v>3.1821142567138571E-21</v>
      </c>
    </row>
    <row r="601" spans="1:26" ht="22.5" customHeight="1" x14ac:dyDescent="0.25">
      <c r="A601" s="1" t="s">
        <v>587</v>
      </c>
      <c r="B601" s="1" t="s">
        <v>723</v>
      </c>
      <c r="C601" s="2" t="s">
        <v>0</v>
      </c>
      <c r="D601" s="22" t="s">
        <v>739</v>
      </c>
      <c r="E601" s="2"/>
      <c r="F601" s="22"/>
      <c r="G601" s="4" t="s">
        <v>7</v>
      </c>
      <c r="H601" s="112" t="s">
        <v>1559</v>
      </c>
      <c r="I601" s="4" t="s">
        <v>7</v>
      </c>
      <c r="J601" s="124" t="s">
        <v>1263</v>
      </c>
      <c r="K601" s="2" t="s">
        <v>0</v>
      </c>
      <c r="L601" s="1" t="s">
        <v>649</v>
      </c>
      <c r="M601" s="2"/>
      <c r="N601" s="125"/>
      <c r="O601" s="126">
        <f>1.4*10^-19*EXP(-2470/Tg)</f>
        <v>4.0349641909757265E-23</v>
      </c>
      <c r="P601" s="146">
        <v>4.0349641909757265E-23</v>
      </c>
      <c r="Q601" s="118" t="s">
        <v>1210</v>
      </c>
      <c r="R601" s="1"/>
      <c r="S601" s="119" t="s">
        <v>1290</v>
      </c>
      <c r="T601" s="119"/>
      <c r="U601" s="24" t="s">
        <v>1034</v>
      </c>
      <c r="V601" s="116" t="b">
        <f>OR(B601=$V$1,D601=$V$1,B601="2"&amp;$V$1)</f>
        <v>0</v>
      </c>
      <c r="W601" s="1" t="b">
        <f>OR(J601=$W$1,L601=$W$1,N601=$W$1,J601="2"&amp;$W$1,L601="2"&amp;$W$1,N601="2"&amp;$W$1)</f>
        <v>0</v>
      </c>
      <c r="Y601" s="25" t="str">
        <f>B601&amp;" + "&amp;D601&amp;IF(F601&lt;&gt;""," + "&amp;F601,"")&amp;"-&gt;"&amp;J601&amp;" + "&amp;L601&amp;IF(N601&lt;&gt;""," + "&amp;N601,"")</f>
        <v>O3 + NO2-&gt;NO3 + O2</v>
      </c>
      <c r="Z601" s="29">
        <f>O601</f>
        <v>4.0349641909757265E-23</v>
      </c>
    </row>
    <row r="602" spans="1:26" ht="22.5" customHeight="1" x14ac:dyDescent="0.25">
      <c r="A602" s="1" t="s">
        <v>589</v>
      </c>
      <c r="B602" s="1" t="s">
        <v>723</v>
      </c>
      <c r="C602" s="2" t="s">
        <v>0</v>
      </c>
      <c r="D602" s="22" t="s">
        <v>653</v>
      </c>
      <c r="E602" s="2"/>
      <c r="F602" s="22"/>
      <c r="G602" s="4" t="s">
        <v>7</v>
      </c>
      <c r="H602" s="112" t="s">
        <v>1559</v>
      </c>
      <c r="I602" s="4" t="s">
        <v>7</v>
      </c>
      <c r="J602" s="119" t="s">
        <v>654</v>
      </c>
      <c r="K602" s="2" t="s">
        <v>0</v>
      </c>
      <c r="L602" s="1" t="s">
        <v>649</v>
      </c>
      <c r="M602" s="2"/>
      <c r="N602" s="125"/>
      <c r="O602" s="130">
        <f>2.8*10^-17*(Tg/300)^0.75</f>
        <v>2.8209738587637361E-17</v>
      </c>
      <c r="P602" s="148">
        <v>2.8209738587637361E-17</v>
      </c>
      <c r="Q602" s="118" t="s">
        <v>1211</v>
      </c>
      <c r="R602" s="1"/>
      <c r="S602" s="1" t="s">
        <v>1049</v>
      </c>
      <c r="T602" s="1"/>
      <c r="U602" s="24" t="s">
        <v>691</v>
      </c>
      <c r="V602" s="116" t="b">
        <f>OR(B602=$V$1,D602=$V$1,B602="2"&amp;$V$1)</f>
        <v>0</v>
      </c>
      <c r="W602" s="1" t="b">
        <f>OR(J602=$W$1,L602=$W$1,N602=$W$1,J602="2"&amp;$W$1,L602="2"&amp;$W$1,N602="2"&amp;$W$1)</f>
        <v>0</v>
      </c>
      <c r="Y602" s="25" t="str">
        <f>B602&amp;" + "&amp;D602&amp;IF(F602&lt;&gt;""," + "&amp;F602,"")&amp;"-&gt;"&amp;J602&amp;" + "&amp;L602&amp;IF(N602&lt;&gt;""," + "&amp;N602,"")</f>
        <v>O3 + H-&gt;OH + O2</v>
      </c>
      <c r="Z602" s="29">
        <f>O602</f>
        <v>2.8209738587637361E-17</v>
      </c>
    </row>
    <row r="603" spans="1:26" ht="22.5" customHeight="1" x14ac:dyDescent="0.25">
      <c r="A603" s="1" t="s">
        <v>596</v>
      </c>
      <c r="B603" s="1" t="s">
        <v>688</v>
      </c>
      <c r="C603" s="2" t="s">
        <v>0</v>
      </c>
      <c r="D603" s="22" t="s">
        <v>767</v>
      </c>
      <c r="E603" s="2"/>
      <c r="F603" s="22"/>
      <c r="G603" s="4" t="s">
        <v>7</v>
      </c>
      <c r="H603" s="112" t="s">
        <v>1559</v>
      </c>
      <c r="I603" s="4" t="s">
        <v>7</v>
      </c>
      <c r="J603" s="119" t="s">
        <v>654</v>
      </c>
      <c r="K603" s="2" t="s">
        <v>0</v>
      </c>
      <c r="L603" s="22" t="s">
        <v>739</v>
      </c>
      <c r="M603" s="2"/>
      <c r="N603" s="125"/>
      <c r="O603" s="126">
        <f>3.4*10^-18*EXP(270/Tg)</f>
        <v>8.28846293930023E-18</v>
      </c>
      <c r="P603" s="146">
        <v>8.28846293930023E-18</v>
      </c>
      <c r="Q603" s="118" t="s">
        <v>1218</v>
      </c>
      <c r="R603" s="1"/>
      <c r="S603" s="1" t="s">
        <v>1049</v>
      </c>
      <c r="T603" s="1"/>
      <c r="U603" s="24" t="s">
        <v>1034</v>
      </c>
      <c r="V603" s="116" t="b">
        <f>OR(B603=$V$1,D603=$V$1,B603="2"&amp;$V$1)</f>
        <v>0</v>
      </c>
      <c r="W603" s="1" t="b">
        <f>OR(J603=$W$1,L603=$W$1,N603=$W$1,J603="2"&amp;$W$1,L603="2"&amp;$W$1,N603="2"&amp;$W$1)</f>
        <v>1</v>
      </c>
      <c r="Y603" s="25" t="str">
        <f>B603&amp;" + "&amp;D603&amp;IF(F603&lt;&gt;""," + "&amp;F603,"")&amp;"-&gt;"&amp;J603&amp;" + "&amp;L603&amp;IF(N603&lt;&gt;""," + "&amp;N603,"")</f>
        <v>NO + HO2-&gt;OH + NO2</v>
      </c>
      <c r="Z603" s="29">
        <f>O603</f>
        <v>8.28846293930023E-18</v>
      </c>
    </row>
    <row r="604" spans="1:26" ht="22.5" customHeight="1" x14ac:dyDescent="0.25">
      <c r="A604" s="1" t="s">
        <v>591</v>
      </c>
      <c r="B604" s="1" t="s">
        <v>723</v>
      </c>
      <c r="C604" s="2" t="s">
        <v>0</v>
      </c>
      <c r="D604" s="22" t="s">
        <v>767</v>
      </c>
      <c r="E604" s="2"/>
      <c r="F604" s="22"/>
      <c r="G604" s="4" t="s">
        <v>7</v>
      </c>
      <c r="H604" s="112" t="s">
        <v>1559</v>
      </c>
      <c r="I604" s="4" t="s">
        <v>7</v>
      </c>
      <c r="J604" s="119" t="s">
        <v>654</v>
      </c>
      <c r="K604" s="2" t="s">
        <v>0</v>
      </c>
      <c r="L604" s="1" t="s">
        <v>1413</v>
      </c>
      <c r="M604" s="2"/>
      <c r="N604" s="128"/>
      <c r="O604" s="131">
        <f>1.4*10^-20*EXP(-600/Tg)</f>
        <v>1.9325865940451955E-21</v>
      </c>
      <c r="P604" s="149">
        <v>1.9325865940451955E-21</v>
      </c>
      <c r="Q604" s="118" t="s">
        <v>1213</v>
      </c>
      <c r="R604" s="1"/>
      <c r="S604" s="1" t="s">
        <v>1049</v>
      </c>
      <c r="T604" s="1"/>
      <c r="U604" s="24" t="s">
        <v>1036</v>
      </c>
      <c r="V604" s="116" t="b">
        <f>OR(B604=$V$1,D604=$V$1,B604="2"&amp;$V$1)</f>
        <v>0</v>
      </c>
      <c r="W604" s="1" t="b">
        <f>OR(J604=$W$1,L604=$W$1,N604=$W$1,J604="2"&amp;$W$1,L604="2"&amp;$W$1,N604="2"&amp;$W$1)</f>
        <v>0</v>
      </c>
      <c r="Y604" s="25" t="str">
        <f>B604&amp;" + "&amp;D604&amp;IF(F604&lt;&gt;""," + "&amp;F604,"")&amp;"-&gt;"&amp;J604&amp;" + "&amp;L604&amp;IF(N604&lt;&gt;""," + "&amp;N604,"")</f>
        <v>O3 + HO2-&gt;OH + 2O2</v>
      </c>
      <c r="Z604" s="29">
        <f>O604</f>
        <v>1.9325865940451955E-21</v>
      </c>
    </row>
    <row r="605" spans="1:26" ht="22.5" customHeight="1" x14ac:dyDescent="0.25">
      <c r="A605" s="1" t="s">
        <v>592</v>
      </c>
      <c r="B605" s="1" t="s">
        <v>688</v>
      </c>
      <c r="C605" s="2" t="s">
        <v>0</v>
      </c>
      <c r="D605" s="22" t="s">
        <v>739</v>
      </c>
      <c r="E605" s="2" t="s">
        <v>0</v>
      </c>
      <c r="F605" s="22" t="s">
        <v>687</v>
      </c>
      <c r="G605" s="4" t="s">
        <v>7</v>
      </c>
      <c r="H605" s="112" t="s">
        <v>1631</v>
      </c>
      <c r="I605" s="4" t="s">
        <v>7</v>
      </c>
      <c r="J605" s="119" t="s">
        <v>1267</v>
      </c>
      <c r="K605" s="2" t="s">
        <v>0</v>
      </c>
      <c r="L605" s="22" t="s">
        <v>687</v>
      </c>
      <c r="M605" s="2"/>
      <c r="N605" s="125"/>
      <c r="O605" s="126">
        <f>3.09*10^-46*(300/Tg)^7.7*NM</f>
        <v>7.7276539435831998E-21</v>
      </c>
      <c r="P605" s="146">
        <v>7.7276539435831998E-21</v>
      </c>
      <c r="Q605" s="118" t="s">
        <v>1214</v>
      </c>
      <c r="R605" s="1"/>
      <c r="S605" s="1" t="s">
        <v>1049</v>
      </c>
      <c r="T605" s="1"/>
      <c r="U605" s="24" t="s">
        <v>1035</v>
      </c>
      <c r="V605" s="116" t="b">
        <f>OR(B605=$V$1,D605=$V$1,B605="2"&amp;$V$1)</f>
        <v>0</v>
      </c>
      <c r="W605" s="1" t="b">
        <f>OR(J605=$W$1,L605=$W$1,N605=$W$1,J605="2"&amp;$W$1,L605="2"&amp;$W$1,N605="2"&amp;$W$1)</f>
        <v>0</v>
      </c>
      <c r="Y605" s="25" t="str">
        <f>B605&amp;" + "&amp;D605&amp;IF(F605&lt;&gt;""," + "&amp;F605,"")&amp;"-&gt;"&amp;J605&amp;" + "&amp;L605&amp;IF(N605&lt;&gt;""," + "&amp;N605,"")</f>
        <v>NO + NO2 + M-&gt;N2O3 + M</v>
      </c>
      <c r="Z605" s="29">
        <f>O605</f>
        <v>7.7276539435831998E-21</v>
      </c>
    </row>
    <row r="606" spans="1:26" ht="22.5" customHeight="1" x14ac:dyDescent="0.25">
      <c r="A606" s="1" t="s">
        <v>628</v>
      </c>
      <c r="B606" s="1" t="s">
        <v>654</v>
      </c>
      <c r="C606" s="2" t="s">
        <v>0</v>
      </c>
      <c r="D606" s="22" t="s">
        <v>818</v>
      </c>
      <c r="E606" s="2"/>
      <c r="F606" s="22"/>
      <c r="G606" s="4" t="s">
        <v>7</v>
      </c>
      <c r="H606" s="112" t="s">
        <v>1559</v>
      </c>
      <c r="I606" s="4" t="s">
        <v>7</v>
      </c>
      <c r="J606" s="124" t="s">
        <v>1261</v>
      </c>
      <c r="K606" s="2" t="s">
        <v>0</v>
      </c>
      <c r="L606" s="1" t="s">
        <v>812</v>
      </c>
      <c r="M606" s="2"/>
      <c r="N606" s="125"/>
      <c r="O606" s="126">
        <f>1.8*10^-17*EXP(-390/Tg)</f>
        <v>4.9691214061020401E-18</v>
      </c>
      <c r="P606" s="146">
        <v>4.9691214061020401E-18</v>
      </c>
      <c r="Q606" s="118" t="s">
        <v>1247</v>
      </c>
      <c r="R606" s="1"/>
      <c r="S606" s="1" t="s">
        <v>1049</v>
      </c>
      <c r="T606" s="1"/>
      <c r="U606" s="24" t="s">
        <v>1031</v>
      </c>
      <c r="V606" s="116" t="b">
        <f>OR(B606=$V$1,D606=$V$1,B606="2"&amp;$V$1)</f>
        <v>0</v>
      </c>
      <c r="W606" s="1" t="b">
        <f>OR(J606=$W$1,L606=$W$1,N606=$W$1,J606="2"&amp;$W$1,L606="2"&amp;$W$1,N606="2"&amp;$W$1)</f>
        <v>1</v>
      </c>
      <c r="Y606" s="25" t="str">
        <f>B606&amp;" + "&amp;D606&amp;IF(F606&lt;&gt;""," + "&amp;F606,"")&amp;"-&gt;"&amp;J606&amp;" + "&amp;L606&amp;IF(N606&lt;&gt;""," + "&amp;N606,"")</f>
        <v>OH + HNO2-&gt;NO2 + H2O</v>
      </c>
      <c r="Z606" s="29">
        <f>O606</f>
        <v>4.9691214061020401E-18</v>
      </c>
    </row>
    <row r="607" spans="1:26" ht="22.5" customHeight="1" x14ac:dyDescent="0.25">
      <c r="A607" s="1" t="s">
        <v>1377</v>
      </c>
      <c r="B607" s="1" t="s">
        <v>1343</v>
      </c>
      <c r="C607" s="2" t="s">
        <v>0</v>
      </c>
      <c r="D607" s="22" t="s">
        <v>738</v>
      </c>
      <c r="E607" s="2"/>
      <c r="F607" s="22"/>
      <c r="G607" s="4" t="s">
        <v>7</v>
      </c>
      <c r="H607" s="112" t="s">
        <v>1559</v>
      </c>
      <c r="I607" s="4" t="s">
        <v>7</v>
      </c>
      <c r="J607" s="124" t="s">
        <v>3</v>
      </c>
      <c r="K607" s="2" t="s">
        <v>0</v>
      </c>
      <c r="L607" s="22" t="s">
        <v>688</v>
      </c>
      <c r="M607" s="2"/>
      <c r="N607" s="125"/>
      <c r="O607" s="126">
        <f>6.7*10^-20</f>
        <v>6.6999999999999997E-20</v>
      </c>
      <c r="P607" s="146">
        <v>6.6999999999999997E-20</v>
      </c>
      <c r="Q607" s="118" t="s">
        <v>1345</v>
      </c>
      <c r="R607" s="1"/>
      <c r="S607" s="1" t="s">
        <v>1342</v>
      </c>
      <c r="T607" s="1"/>
      <c r="U607" s="24"/>
      <c r="V607" s="116" t="b">
        <f>OR(B607=$V$1,D607=$V$1,B607="2"&amp;$V$1)</f>
        <v>0</v>
      </c>
      <c r="W607" s="1" t="b">
        <f>OR(J607=$W$1,L607=$W$1,N607=$W$1,J607="2"&amp;$W$1,L607="2"&amp;$W$1,N607="2"&amp;$W$1)</f>
        <v>0</v>
      </c>
      <c r="Y607" s="25" t="str">
        <f>B607&amp;" + "&amp;D607&amp;IF(F607&lt;&gt;""," + "&amp;F607,"")&amp;"-&gt;"&amp;J607&amp;" + "&amp;L607&amp;IF(N607&lt;&gt;""," + "&amp;N607,"")</f>
        <v>N(2P) + N2O-&gt;N2 + NO</v>
      </c>
      <c r="Z607" s="29">
        <f>O607</f>
        <v>6.6999999999999997E-20</v>
      </c>
    </row>
    <row r="608" spans="1:26" ht="22.5" customHeight="1" x14ac:dyDescent="0.25">
      <c r="A608" s="1" t="s">
        <v>594</v>
      </c>
      <c r="B608" s="1" t="s">
        <v>688</v>
      </c>
      <c r="C608" s="2" t="s">
        <v>0</v>
      </c>
      <c r="D608" s="22" t="s">
        <v>654</v>
      </c>
      <c r="E608" s="2" t="s">
        <v>0</v>
      </c>
      <c r="F608" s="22" t="s">
        <v>687</v>
      </c>
      <c r="G608" s="4" t="s">
        <v>7</v>
      </c>
      <c r="H608" s="112" t="s">
        <v>1631</v>
      </c>
      <c r="I608" s="4" t="s">
        <v>7</v>
      </c>
      <c r="J608" s="119" t="s">
        <v>1268</v>
      </c>
      <c r="K608" s="2" t="s">
        <v>0</v>
      </c>
      <c r="L608" s="22" t="s">
        <v>687</v>
      </c>
      <c r="M608" s="2"/>
      <c r="N608" s="125"/>
      <c r="O608" s="126">
        <f>7.4*10^-43*(300/Tg)^2.4*NM</f>
        <v>1.9508513873336086E-17</v>
      </c>
      <c r="P608" s="146">
        <v>1.9508513873336086E-17</v>
      </c>
      <c r="Q608" s="118" t="s">
        <v>1216</v>
      </c>
      <c r="R608" s="1"/>
      <c r="S608" s="1" t="s">
        <v>1049</v>
      </c>
      <c r="T608" s="1"/>
      <c r="U608" s="24" t="s">
        <v>1034</v>
      </c>
      <c r="V608" s="116" t="b">
        <f>OR(B608=$V$1,D608=$V$1,B608="2"&amp;$V$1)</f>
        <v>0</v>
      </c>
      <c r="W608" s="1" t="b">
        <f>OR(J608=$W$1,L608=$W$1,N608=$W$1,J608="2"&amp;$W$1,L608="2"&amp;$W$1,N608="2"&amp;$W$1)</f>
        <v>0</v>
      </c>
      <c r="Y608" s="25" t="str">
        <f>B608&amp;" + "&amp;D608&amp;IF(F608&lt;&gt;""," + "&amp;F608,"")&amp;"-&gt;"&amp;J608&amp;" + "&amp;L608&amp;IF(N608&lt;&gt;""," + "&amp;N608,"")</f>
        <v>NO + OH + M-&gt;HNO2 + M</v>
      </c>
      <c r="Z608" s="29">
        <f>O608</f>
        <v>1.9508513873336086E-17</v>
      </c>
    </row>
    <row r="609" spans="1:26" ht="22.5" customHeight="1" x14ac:dyDescent="0.25">
      <c r="A609" s="1" t="s">
        <v>595</v>
      </c>
      <c r="B609" s="1" t="s">
        <v>688</v>
      </c>
      <c r="C609" s="2" t="s">
        <v>0</v>
      </c>
      <c r="D609" s="22" t="s">
        <v>653</v>
      </c>
      <c r="E609" s="2" t="s">
        <v>0</v>
      </c>
      <c r="F609" s="22" t="s">
        <v>687</v>
      </c>
      <c r="G609" s="4" t="s">
        <v>7</v>
      </c>
      <c r="H609" s="112" t="s">
        <v>1631</v>
      </c>
      <c r="I609" s="4" t="s">
        <v>7</v>
      </c>
      <c r="J609" s="119" t="s">
        <v>811</v>
      </c>
      <c r="K609" s="2" t="s">
        <v>0</v>
      </c>
      <c r="L609" s="22" t="s">
        <v>687</v>
      </c>
      <c r="M609" s="2"/>
      <c r="N609" s="125"/>
      <c r="O609" s="126">
        <f>1*10^-44*EXP(300/Tg)*NM</f>
        <v>7.2670525498783229E-19</v>
      </c>
      <c r="P609" s="146">
        <v>7.2670525498783229E-19</v>
      </c>
      <c r="Q609" s="118" t="s">
        <v>1217</v>
      </c>
      <c r="R609" s="1"/>
      <c r="S609" s="1" t="s">
        <v>1049</v>
      </c>
      <c r="T609" s="1"/>
      <c r="U609" s="24" t="s">
        <v>1039</v>
      </c>
      <c r="V609" s="116" t="b">
        <f>OR(B609=$V$1,D609=$V$1,B609="2"&amp;$V$1)</f>
        <v>0</v>
      </c>
      <c r="W609" s="1" t="b">
        <f>OR(J609=$W$1,L609=$W$1,N609=$W$1,J609="2"&amp;$W$1,L609="2"&amp;$W$1,N609="2"&amp;$W$1)</f>
        <v>0</v>
      </c>
      <c r="Y609" s="25" t="str">
        <f>B609&amp;" + "&amp;D609&amp;IF(F609&lt;&gt;""," + "&amp;F609,"")&amp;"-&gt;"&amp;J609&amp;" + "&amp;L609&amp;IF(N609&lt;&gt;""," + "&amp;N609,"")</f>
        <v>NO + H + M-&gt;HNO + M</v>
      </c>
      <c r="Z609" s="29">
        <f>O609</f>
        <v>7.2670525498783229E-19</v>
      </c>
    </row>
    <row r="610" spans="1:26" ht="22.5" customHeight="1" x14ac:dyDescent="0.25">
      <c r="A610" s="1" t="s">
        <v>606</v>
      </c>
      <c r="B610" s="1" t="s">
        <v>844</v>
      </c>
      <c r="C610" s="2" t="s">
        <v>0</v>
      </c>
      <c r="D610" s="22" t="s">
        <v>767</v>
      </c>
      <c r="E610" s="2"/>
      <c r="F610" s="22"/>
      <c r="G610" s="4" t="s">
        <v>7</v>
      </c>
      <c r="H610" s="112" t="s">
        <v>1559</v>
      </c>
      <c r="I610" s="4" t="s">
        <v>7</v>
      </c>
      <c r="J610" s="124" t="s">
        <v>1261</v>
      </c>
      <c r="K610" s="2" t="s">
        <v>0</v>
      </c>
      <c r="L610" s="1" t="s">
        <v>654</v>
      </c>
      <c r="M610" s="2" t="s">
        <v>0</v>
      </c>
      <c r="N610" s="128" t="s">
        <v>649</v>
      </c>
      <c r="O610" s="123">
        <f>4.8*10^-18</f>
        <v>4.7999999999999999E-18</v>
      </c>
      <c r="P610" s="145">
        <v>4.7999999999999999E-18</v>
      </c>
      <c r="Q610" s="118" t="s">
        <v>1226</v>
      </c>
      <c r="R610" s="1"/>
      <c r="S610" s="1" t="s">
        <v>1049</v>
      </c>
      <c r="T610" s="1"/>
      <c r="U610" s="24" t="s">
        <v>805</v>
      </c>
      <c r="V610" s="116" t="b">
        <f>OR(B610=$V$1,D610=$V$1,B610="2"&amp;$V$1)</f>
        <v>0</v>
      </c>
      <c r="W610" s="1" t="b">
        <f>OR(J610=$W$1,L610=$W$1,N610=$W$1,J610="2"&amp;$W$1,L610="2"&amp;$W$1,N610="2"&amp;$W$1)</f>
        <v>1</v>
      </c>
      <c r="Y610" s="25" t="str">
        <f>B610&amp;" + "&amp;D610&amp;IF(F610&lt;&gt;""," + "&amp;F610,"")&amp;"-&gt;"&amp;J610&amp;" + "&amp;L610&amp;IF(N610&lt;&gt;""," + "&amp;N610,"")</f>
        <v>NO3 + HO2-&gt;NO2 + OH + O2</v>
      </c>
      <c r="Z610" s="29">
        <f>O610</f>
        <v>4.7999999999999999E-18</v>
      </c>
    </row>
    <row r="611" spans="1:26" ht="22.5" customHeight="1" x14ac:dyDescent="0.25">
      <c r="A611" s="1" t="s">
        <v>597</v>
      </c>
      <c r="B611" s="1" t="s">
        <v>688</v>
      </c>
      <c r="C611" s="2" t="s">
        <v>0</v>
      </c>
      <c r="D611" s="22" t="s">
        <v>767</v>
      </c>
      <c r="E611" s="2"/>
      <c r="F611" s="22"/>
      <c r="G611" s="4" t="s">
        <v>7</v>
      </c>
      <c r="H611" s="112" t="s">
        <v>1559</v>
      </c>
      <c r="I611" s="4" t="s">
        <v>7</v>
      </c>
      <c r="J611" s="119" t="s">
        <v>637</v>
      </c>
      <c r="K611" s="2" t="s">
        <v>0</v>
      </c>
      <c r="L611" s="22" t="s">
        <v>811</v>
      </c>
      <c r="M611" s="2"/>
      <c r="N611" s="125"/>
      <c r="O611" s="126">
        <f>3.3*10^-19*EXP(-1000/Tg)</f>
        <v>1.2167428926576187E-20</v>
      </c>
      <c r="P611" s="146">
        <v>1.2167428926576187E-20</v>
      </c>
      <c r="Q611" s="118" t="s">
        <v>1219</v>
      </c>
      <c r="R611" s="1"/>
      <c r="S611" s="1" t="s">
        <v>1049</v>
      </c>
      <c r="T611" s="1"/>
      <c r="U611" s="24" t="s">
        <v>691</v>
      </c>
      <c r="V611" s="116" t="b">
        <f>OR(B611=$V$1,D611=$V$1,B611="2"&amp;$V$1)</f>
        <v>0</v>
      </c>
      <c r="W611" s="1" t="b">
        <f>OR(J611=$W$1,L611=$W$1,N611=$W$1,J611="2"&amp;$W$1,L611="2"&amp;$W$1,N611="2"&amp;$W$1)</f>
        <v>0</v>
      </c>
      <c r="Y611" s="25" t="str">
        <f>B611&amp;" + "&amp;D611&amp;IF(F611&lt;&gt;""," + "&amp;F611,"")&amp;"-&gt;"&amp;J611&amp;" + "&amp;L611&amp;IF(N611&lt;&gt;""," + "&amp;N611,"")</f>
        <v>NO + HO2-&gt;O2 + HNO</v>
      </c>
      <c r="Z611" s="29">
        <f>O611</f>
        <v>1.2167428926576187E-20</v>
      </c>
    </row>
    <row r="612" spans="1:26" ht="22.5" customHeight="1" x14ac:dyDescent="0.25">
      <c r="A612" s="1" t="s">
        <v>598</v>
      </c>
      <c r="B612" s="1" t="s">
        <v>1414</v>
      </c>
      <c r="C612" s="2" t="s">
        <v>0</v>
      </c>
      <c r="D612" s="22" t="s">
        <v>687</v>
      </c>
      <c r="E612" s="2"/>
      <c r="F612" s="22"/>
      <c r="G612" s="4" t="s">
        <v>7</v>
      </c>
      <c r="H612" s="112" t="s">
        <v>1559</v>
      </c>
      <c r="I612" s="4" t="s">
        <v>7</v>
      </c>
      <c r="J612" s="119" t="s">
        <v>1269</v>
      </c>
      <c r="K612" s="2" t="s">
        <v>0</v>
      </c>
      <c r="L612" s="22" t="s">
        <v>687</v>
      </c>
      <c r="M612" s="2"/>
      <c r="N612" s="125"/>
      <c r="O612" s="126">
        <f>1.17*10^-45*(300/Tg)^3.8*NM</f>
        <v>3.0417842408454481E-20</v>
      </c>
      <c r="P612" s="146">
        <v>3.0417842408454481E-20</v>
      </c>
      <c r="Q612" s="118" t="s">
        <v>1220</v>
      </c>
      <c r="R612" s="1"/>
      <c r="S612" s="1" t="s">
        <v>1049</v>
      </c>
      <c r="T612" s="1"/>
      <c r="U612" s="24" t="s">
        <v>1035</v>
      </c>
      <c r="V612" s="116" t="b">
        <f>OR(B612=$V$1,D612=$V$1,B612="2"&amp;$V$1)</f>
        <v>0</v>
      </c>
      <c r="W612" s="1" t="b">
        <f>OR(J612=$W$1,L612=$W$1,N612=$W$1,J612="2"&amp;$W$1,L612="2"&amp;$W$1,N612="2"&amp;$W$1)</f>
        <v>0</v>
      </c>
      <c r="Y612" s="25" t="str">
        <f>B612&amp;" + "&amp;D612&amp;IF(F612&lt;&gt;""," + "&amp;F612,"")&amp;"-&gt;"&amp;J612&amp;" + "&amp;L612&amp;IF(N612&lt;&gt;""," + "&amp;N612,"")</f>
        <v>2NO2 + M-&gt;N2O4 + M</v>
      </c>
      <c r="Z612" s="29">
        <f>O612</f>
        <v>3.0417842408454481E-20</v>
      </c>
    </row>
    <row r="613" spans="1:26" ht="22.5" customHeight="1" x14ac:dyDescent="0.25">
      <c r="A613" s="1" t="s">
        <v>599</v>
      </c>
      <c r="B613" s="1" t="s">
        <v>739</v>
      </c>
      <c r="C613" s="2" t="s">
        <v>0</v>
      </c>
      <c r="D613" s="22" t="s">
        <v>740</v>
      </c>
      <c r="E613" s="2" t="s">
        <v>0</v>
      </c>
      <c r="F613" s="22" t="s">
        <v>687</v>
      </c>
      <c r="G613" s="4" t="s">
        <v>7</v>
      </c>
      <c r="H613" s="112" t="s">
        <v>1631</v>
      </c>
      <c r="I613" s="4" t="s">
        <v>7</v>
      </c>
      <c r="J613" s="119" t="s">
        <v>1270</v>
      </c>
      <c r="K613" s="2" t="s">
        <v>0</v>
      </c>
      <c r="L613" s="22" t="s">
        <v>687</v>
      </c>
      <c r="M613" s="2"/>
      <c r="N613" s="125"/>
      <c r="O613" s="126">
        <f>2.8*10^-42*(300/Tg)^3.5*NM</f>
        <v>7.3012460999140226E-17</v>
      </c>
      <c r="P613" s="146">
        <v>7.3012460999140226E-17</v>
      </c>
      <c r="Q613" s="118" t="s">
        <v>1221</v>
      </c>
      <c r="R613" s="1"/>
      <c r="S613" s="1" t="s">
        <v>1049</v>
      </c>
      <c r="T613" s="1"/>
      <c r="U613" s="24" t="s">
        <v>1036</v>
      </c>
      <c r="V613" s="116" t="b">
        <f>OR(B613=$V$1,D613=$V$1,B613="2"&amp;$V$1)</f>
        <v>0</v>
      </c>
      <c r="W613" s="1" t="b">
        <f>OR(J613=$W$1,L613=$W$1,N613=$W$1,J613="2"&amp;$W$1,L613="2"&amp;$W$1,N613="2"&amp;$W$1)</f>
        <v>0</v>
      </c>
      <c r="Y613" s="25" t="str">
        <f>B613&amp;" + "&amp;D613&amp;IF(F613&lt;&gt;""," + "&amp;F613,"")&amp;"-&gt;"&amp;J613&amp;" + "&amp;L613&amp;IF(N613&lt;&gt;""," + "&amp;N613,"")</f>
        <v>NO2 + NO3 + M-&gt;N2O5 + M</v>
      </c>
      <c r="Z613" s="29">
        <f>O613</f>
        <v>7.3012460999140226E-17</v>
      </c>
    </row>
    <row r="614" spans="1:26" ht="22.5" customHeight="1" x14ac:dyDescent="0.25">
      <c r="A614" s="1" t="s">
        <v>631</v>
      </c>
      <c r="B614" s="1" t="s">
        <v>811</v>
      </c>
      <c r="C614" s="2" t="s">
        <v>0</v>
      </c>
      <c r="D614" s="22" t="s">
        <v>649</v>
      </c>
      <c r="E614" s="2"/>
      <c r="F614" s="22"/>
      <c r="G614" s="4" t="s">
        <v>7</v>
      </c>
      <c r="H614" s="112" t="s">
        <v>1559</v>
      </c>
      <c r="I614" s="4" t="s">
        <v>7</v>
      </c>
      <c r="J614" s="119" t="s">
        <v>688</v>
      </c>
      <c r="K614" s="2" t="s">
        <v>0</v>
      </c>
      <c r="L614" s="22" t="s">
        <v>767</v>
      </c>
      <c r="M614" s="2"/>
      <c r="N614" s="125"/>
      <c r="O614" s="130">
        <f>3.3*10^-20</f>
        <v>3.2999999999999994E-20</v>
      </c>
      <c r="P614" s="148">
        <v>3.2999999999999994E-20</v>
      </c>
      <c r="Q614" s="118" t="s">
        <v>1547</v>
      </c>
      <c r="R614" s="1"/>
      <c r="S614" s="1" t="s">
        <v>1049</v>
      </c>
      <c r="T614" s="1"/>
      <c r="U614" s="24" t="s">
        <v>756</v>
      </c>
      <c r="V614" s="116" t="b">
        <f>OR(B614=$V$1,D614=$V$1,B614="2"&amp;$V$1)</f>
        <v>0</v>
      </c>
      <c r="W614" s="1" t="b">
        <f>OR(J614=$W$1,L614=$W$1,N614=$W$1,J614="2"&amp;$W$1,L614="2"&amp;$W$1,N614="2"&amp;$W$1)</f>
        <v>0</v>
      </c>
      <c r="X614" s="25" t="s">
        <v>1607</v>
      </c>
      <c r="Y614" s="25" t="str">
        <f>B614&amp;" + "&amp;D614&amp;IF(F614&lt;&gt;""," + "&amp;F614,"")&amp;"-&gt;"&amp;J614&amp;" + "&amp;L614&amp;IF(N614&lt;&gt;""," + "&amp;N614,"")</f>
        <v>HNO + O2-&gt;NO + HO2</v>
      </c>
      <c r="Z614" s="29">
        <f>O614</f>
        <v>3.2999999999999994E-20</v>
      </c>
    </row>
    <row r="615" spans="1:26" ht="22.5" customHeight="1" x14ac:dyDescent="0.25">
      <c r="A615" s="1" t="s">
        <v>563</v>
      </c>
      <c r="B615" s="1" t="s">
        <v>639</v>
      </c>
      <c r="C615" s="2" t="s">
        <v>0</v>
      </c>
      <c r="D615" s="22" t="s">
        <v>840</v>
      </c>
      <c r="E615" s="2"/>
      <c r="F615" s="22"/>
      <c r="G615" s="4" t="s">
        <v>7</v>
      </c>
      <c r="H615" s="112" t="s">
        <v>1559</v>
      </c>
      <c r="I615" s="4" t="s">
        <v>7</v>
      </c>
      <c r="J615" s="119" t="s">
        <v>654</v>
      </c>
      <c r="K615" s="2" t="s">
        <v>0</v>
      </c>
      <c r="L615" s="22" t="s">
        <v>841</v>
      </c>
      <c r="M615" s="2"/>
      <c r="N615" s="125"/>
      <c r="O615" s="126">
        <f>3.3*10^-17*EXP(-2950/Tg)</f>
        <v>1.9508969537262676E-21</v>
      </c>
      <c r="P615" s="146">
        <v>1.9508969537262676E-21</v>
      </c>
      <c r="Q615" s="118" t="s">
        <v>1197</v>
      </c>
      <c r="R615" s="1"/>
      <c r="S615" s="1" t="s">
        <v>1049</v>
      </c>
      <c r="T615" s="1"/>
      <c r="U615" s="24" t="s">
        <v>691</v>
      </c>
      <c r="V615" s="116" t="b">
        <f>OR(B615=$V$1,D615=$V$1,B615="2"&amp;$V$1)</f>
        <v>0</v>
      </c>
      <c r="W615" s="1" t="b">
        <f>OR(J615=$W$1,L615=$W$1,N615=$W$1,J615="2"&amp;$W$1,L615="2"&amp;$W$1,N615="2"&amp;$W$1)</f>
        <v>0</v>
      </c>
      <c r="Y615" s="25" t="str">
        <f>B615&amp;" + "&amp;D615&amp;IF(F615&lt;&gt;""," + "&amp;F615,"")&amp;"-&gt;"&amp;J615&amp;" + "&amp;L615&amp;IF(N615&lt;&gt;""," + "&amp;N615,"")</f>
        <v>O + H2O2-&gt;OH + HO2</v>
      </c>
      <c r="Z615" s="29">
        <f>O615</f>
        <v>1.9508969537262676E-21</v>
      </c>
    </row>
    <row r="616" spans="1:26" ht="22.5" customHeight="1" x14ac:dyDescent="0.25">
      <c r="A616" s="1" t="s">
        <v>624</v>
      </c>
      <c r="B616" s="1" t="s">
        <v>1423</v>
      </c>
      <c r="C616" s="2" t="s">
        <v>0</v>
      </c>
      <c r="D616" s="22" t="s">
        <v>687</v>
      </c>
      <c r="E616" s="2"/>
      <c r="F616" s="22"/>
      <c r="G616" s="4" t="s">
        <v>7</v>
      </c>
      <c r="H616" s="112" t="s">
        <v>1559</v>
      </c>
      <c r="I616" s="4" t="s">
        <v>7</v>
      </c>
      <c r="J616" s="124" t="s">
        <v>1272</v>
      </c>
      <c r="K616" s="2" t="s">
        <v>0</v>
      </c>
      <c r="L616" s="22" t="s">
        <v>687</v>
      </c>
      <c r="M616" s="2"/>
      <c r="N616" s="125"/>
      <c r="O616" s="126">
        <f>6.9*10^-43*(Tg/300)^-0.8*NM</f>
        <v>1.8482288958443094E-17</v>
      </c>
      <c r="P616" s="146">
        <v>1.8482288958443094E-17</v>
      </c>
      <c r="Q616" s="118" t="s">
        <v>1243</v>
      </c>
      <c r="R616" s="1"/>
      <c r="S616" s="1" t="s">
        <v>1049</v>
      </c>
      <c r="T616" s="1"/>
      <c r="U616" s="24" t="s">
        <v>1031</v>
      </c>
      <c r="V616" s="116" t="b">
        <f>OR(B616=$V$1,D616=$V$1,B616="2"&amp;$V$1)</f>
        <v>0</v>
      </c>
      <c r="W616" s="1" t="b">
        <f>OR(J616=$W$1,L616=$W$1,N616=$W$1,J616="2"&amp;$W$1,L616="2"&amp;$W$1,N616="2"&amp;$W$1)</f>
        <v>0</v>
      </c>
      <c r="Y616" s="25" t="str">
        <f>B616&amp;" + "&amp;D616&amp;IF(F616&lt;&gt;""," + "&amp;F616,"")&amp;"-&gt;"&amp;J616&amp;" + "&amp;L616&amp;IF(N616&lt;&gt;""," + "&amp;N616,"")</f>
        <v>2OH + M-&gt;H2O2 + M</v>
      </c>
      <c r="Z616" s="29">
        <f>O616</f>
        <v>1.8482288958443094E-17</v>
      </c>
    </row>
    <row r="617" spans="1:26" ht="22.5" customHeight="1" x14ac:dyDescent="0.25">
      <c r="A617" s="1" t="s">
        <v>586</v>
      </c>
      <c r="B617" s="1" t="s">
        <v>723</v>
      </c>
      <c r="C617" s="2" t="s">
        <v>0</v>
      </c>
      <c r="D617" s="22" t="s">
        <v>688</v>
      </c>
      <c r="E617" s="2"/>
      <c r="F617" s="22"/>
      <c r="G617" s="4" t="s">
        <v>7</v>
      </c>
      <c r="H617" s="112" t="s">
        <v>1559</v>
      </c>
      <c r="I617" s="4" t="s">
        <v>7</v>
      </c>
      <c r="J617" s="124" t="s">
        <v>1261</v>
      </c>
      <c r="K617" s="2" t="s">
        <v>0</v>
      </c>
      <c r="L617" s="1" t="s">
        <v>649</v>
      </c>
      <c r="M617" s="2"/>
      <c r="N617" s="125"/>
      <c r="O617" s="126">
        <f>1.8*10^-18*EXP(-1370/Tg)</f>
        <v>1.9571800860666311E-20</v>
      </c>
      <c r="P617" s="146">
        <v>1.9571800860666311E-20</v>
      </c>
      <c r="Q617" s="118" t="s">
        <v>1209</v>
      </c>
      <c r="R617" s="1"/>
      <c r="S617" s="1" t="s">
        <v>1050</v>
      </c>
      <c r="T617" s="1"/>
      <c r="U617" s="24" t="s">
        <v>1034</v>
      </c>
      <c r="V617" s="116" t="b">
        <f>OR(B617=$V$1,D617=$V$1,B617="2"&amp;$V$1)</f>
        <v>0</v>
      </c>
      <c r="W617" s="1" t="b">
        <f>OR(J617=$W$1,L617=$W$1,N617=$W$1,J617="2"&amp;$W$1,L617="2"&amp;$W$1,N617="2"&amp;$W$1)</f>
        <v>1</v>
      </c>
      <c r="Y617" s="25" t="str">
        <f>B617&amp;" + "&amp;D617&amp;IF(F617&lt;&gt;""," + "&amp;F617,"")&amp;"-&gt;"&amp;J617&amp;" + "&amp;L617&amp;IF(N617&lt;&gt;""," + "&amp;N617,"")</f>
        <v>O3 + NO-&gt;NO2 + O2</v>
      </c>
      <c r="Z617" s="29">
        <f>O617</f>
        <v>1.9571800860666311E-20</v>
      </c>
    </row>
    <row r="618" spans="1:26" ht="22.5" customHeight="1" x14ac:dyDescent="0.25">
      <c r="A618" s="1" t="s">
        <v>608</v>
      </c>
      <c r="B618" s="1" t="s">
        <v>845</v>
      </c>
      <c r="C618" s="2" t="s">
        <v>0</v>
      </c>
      <c r="D618" s="22" t="s">
        <v>687</v>
      </c>
      <c r="E618" s="2"/>
      <c r="F618" s="22"/>
      <c r="G618" s="4" t="s">
        <v>7</v>
      </c>
      <c r="H618" s="112" t="s">
        <v>1559</v>
      </c>
      <c r="I618" s="4" t="s">
        <v>7</v>
      </c>
      <c r="J618" s="119" t="s">
        <v>688</v>
      </c>
      <c r="K618" s="2" t="s">
        <v>0</v>
      </c>
      <c r="L618" s="22" t="s">
        <v>739</v>
      </c>
      <c r="M618" s="2" t="s">
        <v>0</v>
      </c>
      <c r="N618" s="125" t="s">
        <v>687</v>
      </c>
      <c r="O618" s="126">
        <f>1.03*10^-16*EXP(-2628/Tg)</f>
        <v>1.7623212770757408E-20</v>
      </c>
      <c r="P618" s="146">
        <v>1.7623212770757408E-20</v>
      </c>
      <c r="Q618" s="118" t="s">
        <v>1227</v>
      </c>
      <c r="R618" s="1"/>
      <c r="S618" s="1" t="s">
        <v>1049</v>
      </c>
      <c r="T618" s="1"/>
      <c r="U618" s="24" t="s">
        <v>1035</v>
      </c>
      <c r="V618" s="116" t="b">
        <f>OR(B618=$V$1,D618=$V$1,B618="2"&amp;$V$1)</f>
        <v>0</v>
      </c>
      <c r="W618" s="1" t="b">
        <f>OR(J618=$W$1,L618=$W$1,N618=$W$1,J618="2"&amp;$W$1,L618="2"&amp;$W$1,N618="2"&amp;$W$1)</f>
        <v>1</v>
      </c>
      <c r="Y618" s="25" t="str">
        <f>B618&amp;" + "&amp;D618&amp;IF(F618&lt;&gt;""," + "&amp;F618,"")&amp;"-&gt;"&amp;J618&amp;" + "&amp;L618&amp;IF(N618&lt;&gt;""," + "&amp;N618,"")</f>
        <v>N2O3 + M-&gt;NO + NO2 + M</v>
      </c>
      <c r="Z618" s="29">
        <f>O618</f>
        <v>1.7623212770757408E-20</v>
      </c>
    </row>
    <row r="619" spans="1:26" ht="22.5" customHeight="1" x14ac:dyDescent="0.25">
      <c r="A619" s="1" t="s">
        <v>613</v>
      </c>
      <c r="B619" s="1" t="s">
        <v>653</v>
      </c>
      <c r="C619" s="2" t="s">
        <v>0</v>
      </c>
      <c r="D619" s="22" t="s">
        <v>654</v>
      </c>
      <c r="E619" s="2" t="s">
        <v>0</v>
      </c>
      <c r="F619" s="3" t="s">
        <v>687</v>
      </c>
      <c r="G619" s="4" t="s">
        <v>7</v>
      </c>
      <c r="H619" s="112" t="s">
        <v>1631</v>
      </c>
      <c r="I619" s="4" t="s">
        <v>7</v>
      </c>
      <c r="J619" s="119" t="s">
        <v>1260</v>
      </c>
      <c r="K619" s="2" t="s">
        <v>0</v>
      </c>
      <c r="L619" s="22" t="s">
        <v>687</v>
      </c>
      <c r="M619" s="2"/>
      <c r="N619" s="125"/>
      <c r="O619" s="126">
        <f>6.1*10^-38 /Tg^ 2*NM</f>
        <v>1.7939417704146653E-17</v>
      </c>
      <c r="P619" s="146">
        <v>1.7939417704146653E-17</v>
      </c>
      <c r="Q619" s="118" t="s">
        <v>1232</v>
      </c>
      <c r="R619" s="1"/>
      <c r="S619" s="1" t="s">
        <v>1049</v>
      </c>
      <c r="T619" s="1"/>
      <c r="U619" s="24" t="s">
        <v>1037</v>
      </c>
      <c r="V619" s="116" t="b">
        <f>OR(B619=$V$1,D619=$V$1,B619="2"&amp;$V$1)</f>
        <v>0</v>
      </c>
      <c r="W619" s="1" t="b">
        <f>OR(J619=$W$1,L619=$W$1,N619=$W$1,J619="2"&amp;$W$1,L619="2"&amp;$W$1,N619="2"&amp;$W$1)</f>
        <v>0</v>
      </c>
      <c r="Y619" s="25" t="str">
        <f>B619&amp;" + "&amp;D619&amp;IF(F619&lt;&gt;""," + "&amp;F619,"")&amp;"-&gt;"&amp;J619&amp;" + "&amp;L619&amp;IF(N619&lt;&gt;""," + "&amp;N619,"")</f>
        <v>H + OH + M-&gt;H2O + M</v>
      </c>
      <c r="Z619" s="29">
        <f>O619</f>
        <v>1.7939417704146653E-17</v>
      </c>
    </row>
    <row r="620" spans="1:26" ht="22.5" customHeight="1" x14ac:dyDescent="0.25">
      <c r="A620" s="1" t="s">
        <v>609</v>
      </c>
      <c r="B620" s="1" t="s">
        <v>843</v>
      </c>
      <c r="C620" s="2" t="s">
        <v>0</v>
      </c>
      <c r="D620" s="22" t="s">
        <v>687</v>
      </c>
      <c r="E620" s="2"/>
      <c r="F620" s="22"/>
      <c r="G620" s="4" t="s">
        <v>7</v>
      </c>
      <c r="H620" s="112" t="s">
        <v>1559</v>
      </c>
      <c r="I620" s="4" t="s">
        <v>7</v>
      </c>
      <c r="J620" s="124" t="s">
        <v>1422</v>
      </c>
      <c r="K620" s="2" t="s">
        <v>0</v>
      </c>
      <c r="L620" s="22" t="s">
        <v>687</v>
      </c>
      <c r="M620" s="2"/>
      <c r="N620" s="125"/>
      <c r="O620" s="126">
        <f>1.09*10^-13*EXP(-4952/Tg)</f>
        <v>8.7026198869671892E-21</v>
      </c>
      <c r="P620" s="146">
        <v>8.7026198869671892E-21</v>
      </c>
      <c r="Q620" s="118" t="s">
        <v>1228</v>
      </c>
      <c r="R620" s="1"/>
      <c r="S620" s="1" t="s">
        <v>1049</v>
      </c>
      <c r="T620" s="1"/>
      <c r="U620" s="24" t="s">
        <v>1035</v>
      </c>
      <c r="V620" s="116" t="b">
        <f>OR(B620=$V$1,D620=$V$1,B620="2"&amp;$V$1)</f>
        <v>0</v>
      </c>
      <c r="W620" s="1" t="b">
        <f>OR(J620=$W$1,L620=$W$1,N620=$W$1,J620="2"&amp;$W$1,L620="2"&amp;$W$1,N620="2"&amp;$W$1)</f>
        <v>1</v>
      </c>
      <c r="Y620" s="25" t="str">
        <f>B620&amp;" + "&amp;D620&amp;IF(F620&lt;&gt;""," + "&amp;F620,"")&amp;"-&gt;"&amp;J620&amp;" + "&amp;L620&amp;IF(N620&lt;&gt;""," + "&amp;N620,"")</f>
        <v>N2O4 + M-&gt;2NO2 + M</v>
      </c>
      <c r="Z620" s="29">
        <f>O620</f>
        <v>8.7026198869671892E-21</v>
      </c>
    </row>
    <row r="621" spans="1:26" ht="22.5" customHeight="1" x14ac:dyDescent="0.25">
      <c r="A621" s="1" t="s">
        <v>607</v>
      </c>
      <c r="B621" s="1" t="s">
        <v>844</v>
      </c>
      <c r="C621" s="2" t="s">
        <v>0</v>
      </c>
      <c r="D621" s="22" t="s">
        <v>767</v>
      </c>
      <c r="E621" s="2"/>
      <c r="F621" s="22"/>
      <c r="G621" s="4" t="s">
        <v>7</v>
      </c>
      <c r="H621" s="112" t="s">
        <v>1559</v>
      </c>
      <c r="I621" s="4" t="s">
        <v>7</v>
      </c>
      <c r="J621" s="119" t="s">
        <v>1271</v>
      </c>
      <c r="K621" s="2" t="s">
        <v>0</v>
      </c>
      <c r="L621" s="1" t="s">
        <v>649</v>
      </c>
      <c r="M621" s="2"/>
      <c r="N621" s="125"/>
      <c r="O621" s="126">
        <f>1.2*10^-18</f>
        <v>1.2E-18</v>
      </c>
      <c r="P621" s="146">
        <v>1.2E-18</v>
      </c>
      <c r="Q621" s="118" t="s">
        <v>1546</v>
      </c>
      <c r="R621" s="1"/>
      <c r="S621" s="1" t="s">
        <v>1049</v>
      </c>
      <c r="T621" s="1"/>
      <c r="U621" s="24" t="s">
        <v>805</v>
      </c>
      <c r="V621" s="116" t="b">
        <f>OR(B621=$V$1,D621=$V$1,B621="2"&amp;$V$1)</f>
        <v>0</v>
      </c>
      <c r="W621" s="1" t="b">
        <f>OR(J621=$W$1,L621=$W$1,N621=$W$1,J621="2"&amp;$W$1,L621="2"&amp;$W$1,N621="2"&amp;$W$1)</f>
        <v>0</v>
      </c>
      <c r="Y621" s="25" t="str">
        <f>B621&amp;" + "&amp;D621&amp;IF(F621&lt;&gt;""," + "&amp;F621,"")&amp;"-&gt;"&amp;J621&amp;" + "&amp;L621&amp;IF(N621&lt;&gt;""," + "&amp;N621,"")</f>
        <v>NO3 + HO2-&gt;HNO3 + O2</v>
      </c>
      <c r="Z621" s="29">
        <f>O621</f>
        <v>1.2E-18</v>
      </c>
    </row>
    <row r="622" spans="1:26" ht="22.5" customHeight="1" x14ac:dyDescent="0.25">
      <c r="A622" s="1" t="s">
        <v>632</v>
      </c>
      <c r="B622" s="1" t="s">
        <v>811</v>
      </c>
      <c r="C622" s="2" t="s">
        <v>0</v>
      </c>
      <c r="D622" s="22" t="s">
        <v>649</v>
      </c>
      <c r="E622" s="2"/>
      <c r="F622" s="22"/>
      <c r="G622" s="4" t="s">
        <v>7</v>
      </c>
      <c r="H622" s="112" t="s">
        <v>1559</v>
      </c>
      <c r="I622" s="4" t="s">
        <v>7</v>
      </c>
      <c r="J622" s="124" t="s">
        <v>1261</v>
      </c>
      <c r="K622" s="2" t="s">
        <v>0</v>
      </c>
      <c r="L622" s="22" t="s">
        <v>654</v>
      </c>
      <c r="M622" s="2"/>
      <c r="N622" s="125"/>
      <c r="O622" s="126">
        <f>1.66*10^-21</f>
        <v>1.6599999999999997E-21</v>
      </c>
      <c r="P622" s="146">
        <v>1.6599999999999997E-21</v>
      </c>
      <c r="Q622" s="118" t="s">
        <v>1249</v>
      </c>
      <c r="R622" s="1"/>
      <c r="S622" s="1" t="s">
        <v>1049</v>
      </c>
      <c r="T622" s="1"/>
      <c r="U622" s="24" t="s">
        <v>756</v>
      </c>
      <c r="V622" s="116" t="b">
        <f>OR(B622=$V$1,D622=$V$1,B622="2"&amp;$V$1)</f>
        <v>0</v>
      </c>
      <c r="W622" s="1" t="b">
        <f>OR(J622=$W$1,L622=$W$1,N622=$W$1,J622="2"&amp;$W$1,L622="2"&amp;$W$1,N622="2"&amp;$W$1)</f>
        <v>1</v>
      </c>
      <c r="X622" s="25" t="s">
        <v>1607</v>
      </c>
      <c r="Y622" s="25" t="str">
        <f>B622&amp;" + "&amp;D622&amp;IF(F622&lt;&gt;""," + "&amp;F622,"")&amp;"-&gt;"&amp;J622&amp;" + "&amp;L622&amp;IF(N622&lt;&gt;""," + "&amp;N622,"")</f>
        <v>HNO + O2-&gt;NO2 + OH</v>
      </c>
      <c r="Z622" s="29">
        <f>O622</f>
        <v>1.6599999999999997E-21</v>
      </c>
    </row>
    <row r="623" spans="1:26" ht="22.5" customHeight="1" x14ac:dyDescent="0.25">
      <c r="A623" s="1" t="s">
        <v>600</v>
      </c>
      <c r="B623" s="1" t="s">
        <v>739</v>
      </c>
      <c r="C623" s="2" t="s">
        <v>0</v>
      </c>
      <c r="D623" s="22" t="s">
        <v>740</v>
      </c>
      <c r="E623" s="2"/>
      <c r="F623" s="22"/>
      <c r="G623" s="4" t="s">
        <v>7</v>
      </c>
      <c r="H623" s="112" t="s">
        <v>1559</v>
      </c>
      <c r="I623" s="4" t="s">
        <v>7</v>
      </c>
      <c r="J623" s="124" t="s">
        <v>1261</v>
      </c>
      <c r="K623" s="2" t="s">
        <v>0</v>
      </c>
      <c r="L623" s="22" t="s">
        <v>688</v>
      </c>
      <c r="M623" s="2" t="s">
        <v>0</v>
      </c>
      <c r="N623" s="128" t="s">
        <v>649</v>
      </c>
      <c r="O623" s="123">
        <f>2.3*10^-19*EXP(-1600/Tg)</f>
        <v>1.1706407589447488E-21</v>
      </c>
      <c r="P623" s="145">
        <v>1.1706407589447488E-21</v>
      </c>
      <c r="Q623" s="118" t="s">
        <v>1222</v>
      </c>
      <c r="R623" s="1"/>
      <c r="S623" s="1" t="s">
        <v>1049</v>
      </c>
      <c r="T623" s="1"/>
      <c r="U623" s="24" t="s">
        <v>691</v>
      </c>
      <c r="V623" s="116" t="b">
        <f>OR(B623=$V$1,D623=$V$1,B623="2"&amp;$V$1)</f>
        <v>0</v>
      </c>
      <c r="W623" s="1" t="b">
        <f>OR(J623=$W$1,L623=$W$1,N623=$W$1,J623="2"&amp;$W$1,L623="2"&amp;$W$1,N623="2"&amp;$W$1)</f>
        <v>1</v>
      </c>
      <c r="Y623" s="25" t="str">
        <f>B623&amp;" + "&amp;D623&amp;IF(F623&lt;&gt;""," + "&amp;F623,"")&amp;"-&gt;"&amp;J623&amp;" + "&amp;L623&amp;IF(N623&lt;&gt;""," + "&amp;N623,"")</f>
        <v>NO2 + NO3-&gt;NO2 + NO + O2</v>
      </c>
      <c r="Z623" s="29">
        <f>O623</f>
        <v>1.1706407589447488E-21</v>
      </c>
    </row>
    <row r="624" spans="1:26" ht="22.5" customHeight="1" x14ac:dyDescent="0.25">
      <c r="A624" s="1" t="s">
        <v>1287</v>
      </c>
      <c r="B624" s="1" t="s">
        <v>639</v>
      </c>
      <c r="C624" s="2" t="s">
        <v>0</v>
      </c>
      <c r="D624" s="1" t="s">
        <v>723</v>
      </c>
      <c r="E624" s="2"/>
      <c r="F624" s="3"/>
      <c r="G624" s="4" t="s">
        <v>7</v>
      </c>
      <c r="H624" s="112" t="s">
        <v>1559</v>
      </c>
      <c r="I624" s="4" t="s">
        <v>7</v>
      </c>
      <c r="J624" s="119" t="s">
        <v>1487</v>
      </c>
      <c r="K624" s="2" t="s">
        <v>0</v>
      </c>
      <c r="L624" s="1" t="s">
        <v>649</v>
      </c>
      <c r="M624" s="2"/>
      <c r="N624" s="125"/>
      <c r="O624" s="126">
        <f>3.2*10^-18*EXP(-2300/Tg)</f>
        <v>1.6163120034102132E-21</v>
      </c>
      <c r="P624" s="146">
        <v>1.6163120034102132E-21</v>
      </c>
      <c r="Q624" s="118" t="s">
        <v>1289</v>
      </c>
      <c r="R624" s="1"/>
      <c r="S624" s="1" t="s">
        <v>1283</v>
      </c>
      <c r="T624" s="1"/>
      <c r="U624" s="24"/>
      <c r="V624" s="116" t="b">
        <f>OR(B624=$V$1,D624=$V$1,B624="2"&amp;$V$1)</f>
        <v>0</v>
      </c>
      <c r="W624" s="1" t="b">
        <f>OR(J624=$W$1,L624=$W$1,N624=$W$1,J624="2"&amp;$W$1,L624="2"&amp;$W$1,N624="2"&amp;$W$1)</f>
        <v>0</v>
      </c>
      <c r="Y624" s="25" t="str">
        <f>B624&amp;" + "&amp;D624&amp;IF(F624&lt;&gt;""," + "&amp;F624,"")&amp;"-&gt;"&amp;J624&amp;" + "&amp;L624&amp;IF(N624&lt;&gt;""," + "&amp;N624,"")</f>
        <v>O + O3-&gt;O2(b1) + O2</v>
      </c>
      <c r="Z624" s="29">
        <f>O624</f>
        <v>1.6163120034102132E-21</v>
      </c>
    </row>
    <row r="625" spans="1:26" ht="22.5" customHeight="1" x14ac:dyDescent="0.25">
      <c r="A625" s="1" t="s">
        <v>611</v>
      </c>
      <c r="B625" s="1" t="s">
        <v>653</v>
      </c>
      <c r="C625" s="2" t="s">
        <v>0</v>
      </c>
      <c r="D625" s="22" t="s">
        <v>649</v>
      </c>
      <c r="E625" s="2" t="s">
        <v>0</v>
      </c>
      <c r="F625" s="22" t="s">
        <v>687</v>
      </c>
      <c r="G625" s="4" t="s">
        <v>7</v>
      </c>
      <c r="H625" s="112" t="s">
        <v>1631</v>
      </c>
      <c r="I625" s="4" t="s">
        <v>7</v>
      </c>
      <c r="J625" s="124" t="s">
        <v>1262</v>
      </c>
      <c r="K625" s="2" t="s">
        <v>0</v>
      </c>
      <c r="L625" s="22" t="s">
        <v>687</v>
      </c>
      <c r="M625" s="2"/>
      <c r="N625" s="125"/>
      <c r="O625" s="130">
        <f>NM*5.4*(10^-44)*(Tg/300)^-1.8</f>
        <v>1.4321188172706652E-18</v>
      </c>
      <c r="P625" s="148">
        <v>1.4321188172706652E-18</v>
      </c>
      <c r="Q625" s="118" t="s">
        <v>1230</v>
      </c>
      <c r="R625" s="1"/>
      <c r="S625" s="1" t="s">
        <v>1049</v>
      </c>
      <c r="T625" s="1"/>
      <c r="U625" s="24" t="s">
        <v>1036</v>
      </c>
      <c r="V625" s="116" t="b">
        <f>OR(B625=$V$1,D625=$V$1,B625="2"&amp;$V$1)</f>
        <v>0</v>
      </c>
      <c r="W625" s="1" t="b">
        <f>OR(J625=$W$1,L625=$W$1,N625=$W$1,J625="2"&amp;$W$1,L625="2"&amp;$W$1,N625="2"&amp;$W$1)</f>
        <v>0</v>
      </c>
      <c r="Y625" s="25" t="str">
        <f>B625&amp;" + "&amp;D625&amp;IF(F625&lt;&gt;""," + "&amp;F625,"")&amp;"-&gt;"&amp;J625&amp;" + "&amp;L625&amp;IF(N625&lt;&gt;""," + "&amp;N625,"")</f>
        <v>H + O2 + M-&gt;HO2 + M</v>
      </c>
      <c r="Z625" s="29">
        <f>O625</f>
        <v>1.4321188172706652E-18</v>
      </c>
    </row>
    <row r="626" spans="1:26" ht="22.5" customHeight="1" x14ac:dyDescent="0.25">
      <c r="A626" s="1" t="s">
        <v>612</v>
      </c>
      <c r="B626" s="1" t="s">
        <v>1415</v>
      </c>
      <c r="C626" s="2" t="s">
        <v>0</v>
      </c>
      <c r="D626" s="22" t="s">
        <v>687</v>
      </c>
      <c r="E626" s="2"/>
      <c r="F626" s="3"/>
      <c r="G626" s="4" t="s">
        <v>7</v>
      </c>
      <c r="H626" s="112" t="s">
        <v>1559</v>
      </c>
      <c r="I626" s="4" t="s">
        <v>7</v>
      </c>
      <c r="J626" s="119" t="s">
        <v>640</v>
      </c>
      <c r="K626" s="2" t="s">
        <v>0</v>
      </c>
      <c r="L626" s="22" t="s">
        <v>687</v>
      </c>
      <c r="M626" s="2"/>
      <c r="N626" s="125"/>
      <c r="O626" s="126">
        <f>1.8*10^-42 /Tg*NM</f>
        <v>1.603960396039604E-19</v>
      </c>
      <c r="P626" s="146">
        <v>1.603960396039604E-19</v>
      </c>
      <c r="Q626" s="118" t="s">
        <v>1231</v>
      </c>
      <c r="R626" s="1"/>
      <c r="S626" s="1" t="s">
        <v>1049</v>
      </c>
      <c r="T626" s="1"/>
      <c r="U626" s="24" t="s">
        <v>1037</v>
      </c>
      <c r="V626" s="116" t="b">
        <f>OR(B626=$V$1,D626=$V$1,B626="2"&amp;$V$1)</f>
        <v>0</v>
      </c>
      <c r="W626" s="1" t="b">
        <f>OR(J626=$W$1,L626=$W$1,N626=$W$1,J626="2"&amp;$W$1,L626="2"&amp;$W$1,N626="2"&amp;$W$1)</f>
        <v>0</v>
      </c>
      <c r="Y626" s="25" t="str">
        <f>B626&amp;" + "&amp;D626&amp;IF(F626&lt;&gt;""," + "&amp;F626,"")&amp;"-&gt;"&amp;J626&amp;" + "&amp;L626&amp;IF(N626&lt;&gt;""," + "&amp;N626,"")</f>
        <v>2H + M-&gt;H2 + M</v>
      </c>
      <c r="Z626" s="29">
        <f>O626</f>
        <v>1.603960396039604E-19</v>
      </c>
    </row>
    <row r="627" spans="1:26" ht="22.5" customHeight="1" x14ac:dyDescent="0.25">
      <c r="A627" s="1" t="s">
        <v>627</v>
      </c>
      <c r="B627" s="1" t="s">
        <v>654</v>
      </c>
      <c r="C627" s="2" t="s">
        <v>0</v>
      </c>
      <c r="D627" s="22" t="s">
        <v>811</v>
      </c>
      <c r="E627" s="2"/>
      <c r="F627" s="22"/>
      <c r="G627" s="4" t="s">
        <v>7</v>
      </c>
      <c r="H627" s="112" t="s">
        <v>1559</v>
      </c>
      <c r="I627" s="4" t="s">
        <v>7</v>
      </c>
      <c r="J627" s="119" t="s">
        <v>688</v>
      </c>
      <c r="K627" s="2" t="s">
        <v>0</v>
      </c>
      <c r="L627" s="1" t="s">
        <v>812</v>
      </c>
      <c r="M627" s="2"/>
      <c r="N627" s="125"/>
      <c r="O627" s="126">
        <f>8*10^-17*EXP(-500/Tg)</f>
        <v>1.5361457586507982E-17</v>
      </c>
      <c r="P627" s="146">
        <v>1.5361457586507982E-17</v>
      </c>
      <c r="Q627" s="118" t="s">
        <v>1246</v>
      </c>
      <c r="R627" s="1"/>
      <c r="S627" s="1" t="s">
        <v>1049</v>
      </c>
      <c r="T627" s="1"/>
      <c r="U627" s="24" t="s">
        <v>1034</v>
      </c>
      <c r="V627" s="116" t="b">
        <f>OR(B627=$V$1,D627=$V$1,B627="2"&amp;$V$1)</f>
        <v>0</v>
      </c>
      <c r="W627" s="1" t="b">
        <f>OR(J627=$W$1,L627=$W$1,N627=$W$1,J627="2"&amp;$W$1,L627="2"&amp;$W$1,N627="2"&amp;$W$1)</f>
        <v>0</v>
      </c>
      <c r="Y627" s="25" t="str">
        <f>B627&amp;" + "&amp;D627&amp;IF(F627&lt;&gt;""," + "&amp;F627,"")&amp;"-&gt;"&amp;J627&amp;" + "&amp;L627&amp;IF(N627&lt;&gt;""," + "&amp;N627,"")</f>
        <v>OH + HNO-&gt;NO + H2O</v>
      </c>
      <c r="Z627" s="29">
        <f>O627</f>
        <v>1.5361457586507982E-17</v>
      </c>
    </row>
    <row r="628" spans="1:26" ht="22.5" customHeight="1" x14ac:dyDescent="0.25">
      <c r="A628" s="1" t="s">
        <v>614</v>
      </c>
      <c r="B628" s="1" t="s">
        <v>653</v>
      </c>
      <c r="C628" s="2" t="s">
        <v>0</v>
      </c>
      <c r="D628" s="22" t="s">
        <v>840</v>
      </c>
      <c r="E628" s="2"/>
      <c r="F628" s="22"/>
      <c r="G628" s="4" t="s">
        <v>7</v>
      </c>
      <c r="H628" s="112" t="s">
        <v>1559</v>
      </c>
      <c r="I628" s="4" t="s">
        <v>7</v>
      </c>
      <c r="J628" s="119" t="s">
        <v>654</v>
      </c>
      <c r="K628" s="2" t="s">
        <v>0</v>
      </c>
      <c r="L628" s="1" t="s">
        <v>812</v>
      </c>
      <c r="M628" s="2"/>
      <c r="N628" s="125"/>
      <c r="O628" s="126">
        <f>1.69*10^-17*EXP(-1800/Tg)</f>
        <v>4.4454884414132755E-20</v>
      </c>
      <c r="P628" s="146">
        <v>4.4454884414132755E-20</v>
      </c>
      <c r="Q628" s="118" t="s">
        <v>1233</v>
      </c>
      <c r="R628" s="1"/>
      <c r="S628" s="1" t="s">
        <v>1049</v>
      </c>
      <c r="T628" s="1"/>
      <c r="U628" s="24" t="s">
        <v>1035</v>
      </c>
      <c r="V628" s="116" t="b">
        <f>OR(B628=$V$1,D628=$V$1,B628="2"&amp;$V$1)</f>
        <v>0</v>
      </c>
      <c r="W628" s="1" t="b">
        <f>OR(J628=$W$1,L628=$W$1,N628=$W$1,J628="2"&amp;$W$1,L628="2"&amp;$W$1,N628="2"&amp;$W$1)</f>
        <v>0</v>
      </c>
      <c r="Y628" s="25" t="str">
        <f>B628&amp;" + "&amp;D628&amp;IF(F628&lt;&gt;""," + "&amp;F628,"")&amp;"-&gt;"&amp;J628&amp;" + "&amp;L628&amp;IF(N628&lt;&gt;""," + "&amp;N628,"")</f>
        <v>H + H2O2-&gt;OH + H2O</v>
      </c>
      <c r="Z628" s="29">
        <f>O628</f>
        <v>4.4454884414132755E-20</v>
      </c>
    </row>
    <row r="629" spans="1:26" ht="22.5" customHeight="1" x14ac:dyDescent="0.25">
      <c r="A629" s="1" t="s">
        <v>615</v>
      </c>
      <c r="B629" s="1" t="s">
        <v>653</v>
      </c>
      <c r="C629" s="2" t="s">
        <v>0</v>
      </c>
      <c r="D629" s="22" t="s">
        <v>840</v>
      </c>
      <c r="E629" s="2"/>
      <c r="F629" s="22"/>
      <c r="G629" s="4" t="s">
        <v>7</v>
      </c>
      <c r="H629" s="112" t="s">
        <v>1559</v>
      </c>
      <c r="I629" s="4" t="s">
        <v>7</v>
      </c>
      <c r="J629" s="124" t="s">
        <v>1262</v>
      </c>
      <c r="K629" s="2" t="s">
        <v>0</v>
      </c>
      <c r="L629" s="1" t="s">
        <v>699</v>
      </c>
      <c r="M629" s="2"/>
      <c r="N629" s="125"/>
      <c r="O629" s="126">
        <f>2.8*10^-18*EXP(-1900/Tg)</f>
        <v>5.2949187456908032E-21</v>
      </c>
      <c r="P629" s="146">
        <v>5.2949187456908032E-21</v>
      </c>
      <c r="Q629" s="118" t="s">
        <v>1234</v>
      </c>
      <c r="R629" s="1"/>
      <c r="S629" s="1" t="s">
        <v>1049</v>
      </c>
      <c r="T629" s="1"/>
      <c r="U629" s="24" t="s">
        <v>691</v>
      </c>
      <c r="V629" s="116" t="b">
        <f>OR(B629=$V$1,D629=$V$1,B629="2"&amp;$V$1)</f>
        <v>0</v>
      </c>
      <c r="W629" s="1" t="b">
        <f>OR(J629=$W$1,L629=$W$1,N629=$W$1,J629="2"&amp;$W$1,L629="2"&amp;$W$1,N629="2"&amp;$W$1)</f>
        <v>0</v>
      </c>
      <c r="Y629" s="25" t="str">
        <f>B629&amp;" + "&amp;D629&amp;IF(F629&lt;&gt;""," + "&amp;F629,"")&amp;"-&gt;"&amp;J629&amp;" + "&amp;L629&amp;IF(N629&lt;&gt;""," + "&amp;N629,"")</f>
        <v>H + H2O2-&gt;HO2 + H2</v>
      </c>
      <c r="Z629" s="29">
        <f>O629</f>
        <v>5.2949187456908032E-21</v>
      </c>
    </row>
    <row r="630" spans="1:26" ht="22.5" customHeight="1" x14ac:dyDescent="0.25">
      <c r="A630" s="1" t="s">
        <v>616</v>
      </c>
      <c r="B630" s="1" t="s">
        <v>653</v>
      </c>
      <c r="C630" s="2" t="s">
        <v>0</v>
      </c>
      <c r="D630" s="22" t="s">
        <v>767</v>
      </c>
      <c r="E630" s="2"/>
      <c r="F630" s="3"/>
      <c r="G630" s="4" t="s">
        <v>7</v>
      </c>
      <c r="H630" s="112" t="s">
        <v>1559</v>
      </c>
      <c r="I630" s="4" t="s">
        <v>7</v>
      </c>
      <c r="J630" s="119" t="s">
        <v>640</v>
      </c>
      <c r="K630" s="2" t="s">
        <v>0</v>
      </c>
      <c r="L630" s="22" t="s">
        <v>649</v>
      </c>
      <c r="M630" s="2"/>
      <c r="N630" s="125"/>
      <c r="O630" s="126">
        <f>5.6*10^-18</f>
        <v>5.6000000000000002E-18</v>
      </c>
      <c r="P630" s="146">
        <v>5.6000000000000002E-18</v>
      </c>
      <c r="Q630" s="118" t="s">
        <v>1235</v>
      </c>
      <c r="R630" s="1"/>
      <c r="S630" s="1" t="s">
        <v>1049</v>
      </c>
      <c r="T630" s="1"/>
      <c r="U630" s="24" t="s">
        <v>1036</v>
      </c>
      <c r="V630" s="116" t="b">
        <f>OR(B630=$V$1,D630=$V$1,B630="2"&amp;$V$1)</f>
        <v>0</v>
      </c>
      <c r="W630" s="1" t="b">
        <f>OR(J630=$W$1,L630=$W$1,N630=$W$1,J630="2"&amp;$W$1,L630="2"&amp;$W$1,N630="2"&amp;$W$1)</f>
        <v>0</v>
      </c>
      <c r="Y630" s="25" t="str">
        <f>B630&amp;" + "&amp;D630&amp;IF(F630&lt;&gt;""," + "&amp;F630,"")&amp;"-&gt;"&amp;J630&amp;" + "&amp;L630&amp;IF(N630&lt;&gt;""," + "&amp;N630,"")</f>
        <v>H + HO2-&gt;H2 + O2</v>
      </c>
      <c r="Z630" s="29">
        <f>O630</f>
        <v>5.6000000000000002E-18</v>
      </c>
    </row>
    <row r="631" spans="1:26" ht="22.5" customHeight="1" x14ac:dyDescent="0.25">
      <c r="A631" s="1" t="s">
        <v>617</v>
      </c>
      <c r="B631" s="1" t="s">
        <v>653</v>
      </c>
      <c r="C631" s="2" t="s">
        <v>0</v>
      </c>
      <c r="D631" s="22" t="s">
        <v>767</v>
      </c>
      <c r="E631" s="2"/>
      <c r="F631" s="3"/>
      <c r="G631" s="4" t="s">
        <v>7</v>
      </c>
      <c r="H631" s="112" t="s">
        <v>1559</v>
      </c>
      <c r="I631" s="4" t="s">
        <v>7</v>
      </c>
      <c r="J631" s="119" t="s">
        <v>639</v>
      </c>
      <c r="K631" s="2" t="s">
        <v>0</v>
      </c>
      <c r="L631" s="1" t="s">
        <v>812</v>
      </c>
      <c r="M631" s="2"/>
      <c r="N631" s="125"/>
      <c r="O631" s="126">
        <f>2.4*10^-18</f>
        <v>2.3999999999999999E-18</v>
      </c>
      <c r="P631" s="146">
        <v>2.3999999999999999E-18</v>
      </c>
      <c r="Q631" s="118" t="s">
        <v>1236</v>
      </c>
      <c r="R631" s="1"/>
      <c r="S631" s="1" t="s">
        <v>1049</v>
      </c>
      <c r="T631" s="1"/>
      <c r="U631" s="24" t="s">
        <v>1036</v>
      </c>
      <c r="V631" s="116" t="b">
        <f>OR(B631=$V$1,D631=$V$1,B631="2"&amp;$V$1)</f>
        <v>0</v>
      </c>
      <c r="W631" s="1" t="b">
        <f>OR(J631=$W$1,L631=$W$1,N631=$W$1,J631="2"&amp;$W$1,L631="2"&amp;$W$1,N631="2"&amp;$W$1)</f>
        <v>0</v>
      </c>
      <c r="Y631" s="25" t="str">
        <f>B631&amp;" + "&amp;D631&amp;IF(F631&lt;&gt;""," + "&amp;F631,"")&amp;"-&gt;"&amp;J631&amp;" + "&amp;L631&amp;IF(N631&lt;&gt;""," + "&amp;N631,"")</f>
        <v>H + HO2-&gt;O + H2O</v>
      </c>
      <c r="Z631" s="29">
        <f>O631</f>
        <v>2.3999999999999999E-18</v>
      </c>
    </row>
    <row r="632" spans="1:26" ht="22.5" customHeight="1" x14ac:dyDescent="0.25">
      <c r="A632" s="1" t="s">
        <v>618</v>
      </c>
      <c r="B632" s="1" t="s">
        <v>653</v>
      </c>
      <c r="C632" s="2" t="s">
        <v>0</v>
      </c>
      <c r="D632" s="22" t="s">
        <v>767</v>
      </c>
      <c r="E632" s="2"/>
      <c r="F632" s="22"/>
      <c r="G632" s="4" t="s">
        <v>7</v>
      </c>
      <c r="H632" s="112" t="s">
        <v>1559</v>
      </c>
      <c r="I632" s="4" t="s">
        <v>7</v>
      </c>
      <c r="J632" s="119" t="s">
        <v>1423</v>
      </c>
      <c r="K632" s="2"/>
      <c r="L632" s="22"/>
      <c r="M632" s="2"/>
      <c r="N632" s="125"/>
      <c r="O632" s="130">
        <f>4.2*10^-16*EXP(-950/Tg)</f>
        <v>1.8264169320790931E-17</v>
      </c>
      <c r="P632" s="148">
        <v>1.8264169320790931E-17</v>
      </c>
      <c r="Q632" s="118" t="s">
        <v>1237</v>
      </c>
      <c r="R632" s="1"/>
      <c r="S632" s="1" t="s">
        <v>1049</v>
      </c>
      <c r="T632" s="1"/>
      <c r="U632" s="24" t="s">
        <v>691</v>
      </c>
      <c r="V632" s="116" t="b">
        <f>OR(B632=$V$1,D632=$V$1,B632="2"&amp;$V$1)</f>
        <v>0</v>
      </c>
      <c r="W632" s="1" t="b">
        <f>OR(J632=$W$1,L632=$W$1,N632=$W$1,J632="2"&amp;$W$1,L632="2"&amp;$W$1,N632="2"&amp;$W$1)</f>
        <v>0</v>
      </c>
      <c r="Y632" s="25" t="str">
        <f>B632&amp;" + "&amp;D632&amp;IF(F632&lt;&gt;""," + "&amp;F632,"")&amp;"-&gt;"&amp;J632&amp;" + "&amp;L632&amp;IF(N632&lt;&gt;""," + "&amp;N632,"")</f>
        <v xml:space="preserve">H + HO2-&gt;2OH + </v>
      </c>
      <c r="Z632" s="29">
        <f>O632</f>
        <v>1.8264169320790931E-17</v>
      </c>
    </row>
    <row r="633" spans="1:26" ht="22.5" customHeight="1" x14ac:dyDescent="0.25">
      <c r="A633" s="1" t="s">
        <v>1315</v>
      </c>
      <c r="B633" s="1" t="s">
        <v>636</v>
      </c>
      <c r="C633" s="2" t="s">
        <v>0</v>
      </c>
      <c r="D633" s="1" t="s">
        <v>638</v>
      </c>
      <c r="E633" s="2"/>
      <c r="F633" s="22"/>
      <c r="G633" s="4" t="s">
        <v>7</v>
      </c>
      <c r="H633" s="112" t="s">
        <v>1559</v>
      </c>
      <c r="I633" s="4" t="s">
        <v>7</v>
      </c>
      <c r="J633" s="119" t="s">
        <v>688</v>
      </c>
      <c r="K633" s="2" t="s">
        <v>0</v>
      </c>
      <c r="L633" s="1" t="s">
        <v>649</v>
      </c>
      <c r="M633" s="2"/>
      <c r="N633" s="125"/>
      <c r="O633" s="126">
        <f>10^-21</f>
        <v>9.9999999999999991E-22</v>
      </c>
      <c r="P633" s="146">
        <v>9.9999999999999991E-22</v>
      </c>
      <c r="Q633" s="118" t="s">
        <v>1316</v>
      </c>
      <c r="R633" s="1"/>
      <c r="S633" s="1" t="s">
        <v>1283</v>
      </c>
      <c r="T633" s="1"/>
      <c r="U633" s="24"/>
      <c r="V633" s="116" t="b">
        <f>OR(B633=$V$1,D633=$V$1,B633="2"&amp;$V$1)</f>
        <v>0</v>
      </c>
      <c r="W633" s="1" t="b">
        <f>OR(J633=$W$1,L633=$W$1,N633=$W$1,J633="2"&amp;$W$1,L633="2"&amp;$W$1,N633="2"&amp;$W$1)</f>
        <v>0</v>
      </c>
      <c r="Y633" s="25" t="str">
        <f>B633&amp;" + "&amp;D633&amp;IF(F633&lt;&gt;""," + "&amp;F633,"")&amp;"-&gt;"&amp;J633&amp;" + "&amp;L633&amp;IF(N633&lt;&gt;""," + "&amp;N633,"")</f>
        <v>N + O3-&gt;NO + O2</v>
      </c>
      <c r="Z633" s="29">
        <f>O633</f>
        <v>9.9999999999999991E-22</v>
      </c>
    </row>
    <row r="634" spans="1:26" ht="22.5" customHeight="1" x14ac:dyDescent="0.25">
      <c r="A634" s="1" t="s">
        <v>603</v>
      </c>
      <c r="B634" s="1" t="s">
        <v>1426</v>
      </c>
      <c r="C634" s="2"/>
      <c r="D634" s="22"/>
      <c r="E634" s="2"/>
      <c r="F634" s="22"/>
      <c r="G634" s="4" t="s">
        <v>7</v>
      </c>
      <c r="H634" s="112" t="s">
        <v>1559</v>
      </c>
      <c r="I634" s="4" t="s">
        <v>7</v>
      </c>
      <c r="J634" s="124" t="s">
        <v>1422</v>
      </c>
      <c r="K634" s="2" t="s">
        <v>0</v>
      </c>
      <c r="L634" s="22" t="s">
        <v>649</v>
      </c>
      <c r="M634" s="2"/>
      <c r="N634" s="128"/>
      <c r="O634" s="123">
        <f>5*10^-18*EXP(-3000/Tg)</f>
        <v>2.5062514369028099E-22</v>
      </c>
      <c r="P634" s="145">
        <v>2.5062514369028099E-22</v>
      </c>
      <c r="Q634" s="118" t="s">
        <v>1224</v>
      </c>
      <c r="R634" s="1"/>
      <c r="S634" s="1" t="s">
        <v>1050</v>
      </c>
      <c r="T634" s="1"/>
      <c r="U634" s="24" t="s">
        <v>690</v>
      </c>
      <c r="V634" s="116" t="b">
        <f>OR(B634=$V$1,D634=$V$1,B634="2"&amp;$V$1)</f>
        <v>0</v>
      </c>
      <c r="W634" s="1" t="b">
        <f>OR(J634=$W$1,L634=$W$1,N634=$W$1,J634="2"&amp;$W$1,L634="2"&amp;$W$1,N634="2"&amp;$W$1)</f>
        <v>1</v>
      </c>
      <c r="Y634" s="25" t="str">
        <f>B634&amp;" + "&amp;D634&amp;IF(F634&lt;&gt;""," + "&amp;F634,"")&amp;"-&gt;"&amp;J634&amp;" + "&amp;L634&amp;IF(N634&lt;&gt;""," + "&amp;N634,"")</f>
        <v>2NO3 + -&gt;2NO2 + O2</v>
      </c>
      <c r="Z634" s="29">
        <f>O634</f>
        <v>2.5062514369028099E-22</v>
      </c>
    </row>
    <row r="635" spans="1:26" ht="22.5" customHeight="1" x14ac:dyDescent="0.25">
      <c r="A635" s="1" t="s">
        <v>620</v>
      </c>
      <c r="B635" s="1" t="s">
        <v>653</v>
      </c>
      <c r="C635" s="2" t="s">
        <v>0</v>
      </c>
      <c r="D635" s="22" t="s">
        <v>818</v>
      </c>
      <c r="E635" s="2"/>
      <c r="F635" s="22"/>
      <c r="G635" s="4" t="s">
        <v>7</v>
      </c>
      <c r="H635" s="112" t="s">
        <v>1559</v>
      </c>
      <c r="I635" s="4" t="s">
        <v>7</v>
      </c>
      <c r="J635" s="124" t="s">
        <v>1261</v>
      </c>
      <c r="K635" s="2" t="s">
        <v>0</v>
      </c>
      <c r="L635" s="1" t="s">
        <v>699</v>
      </c>
      <c r="M635" s="2"/>
      <c r="N635" s="125"/>
      <c r="O635" s="126">
        <f>2*10^-17*EXP(-3700/Tg)</f>
        <v>9.9486475410781557E-23</v>
      </c>
      <c r="P635" s="146">
        <v>9.9486475410781557E-23</v>
      </c>
      <c r="Q635" s="118" t="s">
        <v>1239</v>
      </c>
      <c r="R635" s="1"/>
      <c r="S635" s="1" t="s">
        <v>1049</v>
      </c>
      <c r="T635" s="1"/>
      <c r="U635" s="24" t="s">
        <v>1034</v>
      </c>
      <c r="V635" s="116" t="b">
        <f>OR(B635=$V$1,D635=$V$1,B635="2"&amp;$V$1)</f>
        <v>0</v>
      </c>
      <c r="W635" s="1" t="b">
        <f>OR(J635=$W$1,L635=$W$1,N635=$W$1,J635="2"&amp;$W$1,L635="2"&amp;$W$1,N635="2"&amp;$W$1)</f>
        <v>1</v>
      </c>
      <c r="Y635" s="25" t="str">
        <f>B635&amp;" + "&amp;D635&amp;IF(F635&lt;&gt;""," + "&amp;F635,"")&amp;"-&gt;"&amp;J635&amp;" + "&amp;L635&amp;IF(N635&lt;&gt;""," + "&amp;N635,"")</f>
        <v>H + HNO2-&gt;NO2 + H2</v>
      </c>
      <c r="Z635" s="29">
        <f>O635</f>
        <v>9.9486475410781557E-23</v>
      </c>
    </row>
    <row r="636" spans="1:26" ht="22.5" customHeight="1" x14ac:dyDescent="0.25">
      <c r="A636" s="1" t="s">
        <v>566</v>
      </c>
      <c r="B636" s="1" t="s">
        <v>639</v>
      </c>
      <c r="C636" s="2" t="s">
        <v>0</v>
      </c>
      <c r="D636" s="22" t="s">
        <v>818</v>
      </c>
      <c r="E636" s="2"/>
      <c r="F636" s="22"/>
      <c r="G636" s="4" t="s">
        <v>7</v>
      </c>
      <c r="H636" s="112" t="s">
        <v>1559</v>
      </c>
      <c r="I636" s="4" t="s">
        <v>7</v>
      </c>
      <c r="J636" s="22" t="s">
        <v>654</v>
      </c>
      <c r="K636" s="2" t="s">
        <v>0</v>
      </c>
      <c r="L636" s="124" t="s">
        <v>1261</v>
      </c>
      <c r="M636" s="2"/>
      <c r="N636" s="125"/>
      <c r="O636" s="126">
        <f>2*10^-17*EXP(-3000/Tg)</f>
        <v>1.0025005747611239E-21</v>
      </c>
      <c r="P636" s="146">
        <v>1.0025005747611239E-21</v>
      </c>
      <c r="Q636" s="118" t="s">
        <v>1199</v>
      </c>
      <c r="R636" s="1"/>
      <c r="S636" s="1" t="s">
        <v>1049</v>
      </c>
      <c r="T636" s="1"/>
      <c r="U636" s="24" t="s">
        <v>1031</v>
      </c>
      <c r="V636" s="116" t="b">
        <f>OR(B636=$V$1,D636=$V$1,B636="2"&amp;$V$1)</f>
        <v>0</v>
      </c>
      <c r="W636" s="1" t="b">
        <f>OR(J636=$W$1,L636=$W$1,N636=$W$1,J636="2"&amp;$W$1,L636="2"&amp;$W$1,N636="2"&amp;$W$1)</f>
        <v>1</v>
      </c>
      <c r="Y636" s="25" t="str">
        <f>B636&amp;" + "&amp;D636&amp;IF(F636&lt;&gt;""," + "&amp;F636,"")&amp;"-&gt;"&amp;J636&amp;" + "&amp;L636&amp;IF(N636&lt;&gt;""," + "&amp;N636,"")</f>
        <v>O + HNO2-&gt;OH + NO2</v>
      </c>
      <c r="Z636" s="29">
        <f>O636</f>
        <v>1.0025005747611239E-21</v>
      </c>
    </row>
    <row r="637" spans="1:26" ht="22.5" customHeight="1" x14ac:dyDescent="0.25">
      <c r="A637" s="1" t="s">
        <v>635</v>
      </c>
      <c r="B637" s="22" t="s">
        <v>818</v>
      </c>
      <c r="C637" s="2" t="s">
        <v>0</v>
      </c>
      <c r="D637" s="22" t="s">
        <v>816</v>
      </c>
      <c r="E637" s="2"/>
      <c r="F637" s="22"/>
      <c r="G637" s="4" t="s">
        <v>7</v>
      </c>
      <c r="H637" s="112" t="s">
        <v>1559</v>
      </c>
      <c r="I637" s="4" t="s">
        <v>7</v>
      </c>
      <c r="J637" s="124" t="s">
        <v>1422</v>
      </c>
      <c r="K637" s="2" t="s">
        <v>0</v>
      </c>
      <c r="L637" s="1" t="s">
        <v>812</v>
      </c>
      <c r="M637" s="2"/>
      <c r="N637" s="128"/>
      <c r="O637" s="123">
        <f>1.6*10^-23</f>
        <v>1.6000000000000002E-23</v>
      </c>
      <c r="P637" s="145">
        <v>1.6000000000000002E-23</v>
      </c>
      <c r="Q637" s="118" t="s">
        <v>1251</v>
      </c>
      <c r="R637" s="1"/>
      <c r="S637" s="1" t="s">
        <v>1049</v>
      </c>
      <c r="T637" s="1"/>
      <c r="U637" s="24" t="s">
        <v>756</v>
      </c>
      <c r="V637" s="116" t="b">
        <f t="shared" ref="V628:V648" si="11">OR(B637=$V$1,D637=$V$1,B637="2"&amp;$V$1)</f>
        <v>0</v>
      </c>
      <c r="W637" s="1" t="b">
        <f t="shared" ref="W628:W648" si="12">OR(J637=$W$1,L637=$W$1,N637=$W$1,J637="2"&amp;$W$1,L637="2"&amp;$W$1,N637="2"&amp;$W$1)</f>
        <v>1</v>
      </c>
      <c r="X637" s="25" t="s">
        <v>1607</v>
      </c>
      <c r="Y637" s="25" t="str">
        <f t="shared" ref="Y628:Y648" si="13">B637&amp;" + "&amp;D637&amp;IF(F637&lt;&gt;""," + "&amp;F637,"")&amp;"-&gt;"&amp;J637&amp;" + "&amp;L637&amp;IF(N637&lt;&gt;""," + "&amp;N637,"")</f>
        <v>HNO2 + HNO3-&gt;2NO2 + H2O</v>
      </c>
      <c r="Z637" s="29">
        <f t="shared" ref="Z628:Z648" si="14">O637</f>
        <v>1.6000000000000002E-23</v>
      </c>
    </row>
    <row r="638" spans="1:26" ht="22.5" customHeight="1" x14ac:dyDescent="0.25">
      <c r="A638" s="1" t="s">
        <v>626</v>
      </c>
      <c r="B638" s="1" t="s">
        <v>654</v>
      </c>
      <c r="C638" s="2" t="s">
        <v>0</v>
      </c>
      <c r="D638" s="22" t="s">
        <v>840</v>
      </c>
      <c r="E638" s="2"/>
      <c r="F638" s="22"/>
      <c r="G638" s="4" t="s">
        <v>7</v>
      </c>
      <c r="H638" s="112" t="s">
        <v>1559</v>
      </c>
      <c r="I638" s="4" t="s">
        <v>7</v>
      </c>
      <c r="J638" s="124" t="s">
        <v>1262</v>
      </c>
      <c r="K638" s="2" t="s">
        <v>0</v>
      </c>
      <c r="L638" s="1" t="s">
        <v>812</v>
      </c>
      <c r="M638" s="2"/>
      <c r="N638" s="125"/>
      <c r="O638" s="126">
        <f>2.9*10^-18*EXP(-160/Tg)</f>
        <v>1.7102814228024389E-18</v>
      </c>
      <c r="P638" s="146">
        <v>1.7102814228024389E-18</v>
      </c>
      <c r="Q638" s="118" t="s">
        <v>1245</v>
      </c>
      <c r="R638" s="1"/>
      <c r="S638" s="1" t="s">
        <v>1049</v>
      </c>
      <c r="T638" s="1"/>
      <c r="U638" s="24" t="s">
        <v>1036</v>
      </c>
      <c r="V638" s="116" t="b">
        <f t="shared" si="11"/>
        <v>0</v>
      </c>
      <c r="W638" s="1" t="b">
        <f t="shared" si="12"/>
        <v>0</v>
      </c>
      <c r="Y638" s="25" t="str">
        <f t="shared" si="13"/>
        <v>OH + H2O2-&gt;HO2 + H2O</v>
      </c>
      <c r="Z638" s="29">
        <f t="shared" si="14"/>
        <v>1.7102814228024389E-18</v>
      </c>
    </row>
    <row r="639" spans="1:26" ht="22.5" customHeight="1" x14ac:dyDescent="0.25">
      <c r="A639" s="1" t="s">
        <v>623</v>
      </c>
      <c r="B639" s="1" t="s">
        <v>1423</v>
      </c>
      <c r="C639" s="2"/>
      <c r="D639" s="22"/>
      <c r="E639" s="2"/>
      <c r="F639" s="3"/>
      <c r="G639" s="4" t="s">
        <v>7</v>
      </c>
      <c r="H639" s="112" t="s">
        <v>1559</v>
      </c>
      <c r="I639" s="4" t="s">
        <v>7</v>
      </c>
      <c r="J639" s="119" t="s">
        <v>639</v>
      </c>
      <c r="K639" s="2" t="s">
        <v>0</v>
      </c>
      <c r="L639" s="1" t="s">
        <v>812</v>
      </c>
      <c r="M639" s="2"/>
      <c r="N639" s="125"/>
      <c r="O639" s="126">
        <f>8.8*10^-18*EXP(-503/Tg)</f>
        <v>1.6731125847742901E-18</v>
      </c>
      <c r="P639" s="146">
        <v>1.6731125847742901E-18</v>
      </c>
      <c r="Q639" s="118" t="s">
        <v>1242</v>
      </c>
      <c r="R639" s="1"/>
      <c r="S639" s="1" t="s">
        <v>1049</v>
      </c>
      <c r="T639" s="1"/>
      <c r="U639" s="24" t="s">
        <v>691</v>
      </c>
      <c r="V639" s="116" t="b">
        <f t="shared" si="11"/>
        <v>0</v>
      </c>
      <c r="W639" s="1" t="b">
        <f t="shared" si="12"/>
        <v>0</v>
      </c>
      <c r="Y639" s="25" t="str">
        <f t="shared" si="13"/>
        <v>2OH + -&gt;O + H2O</v>
      </c>
      <c r="Z639" s="29">
        <f t="shared" si="14"/>
        <v>1.6731125847742901E-18</v>
      </c>
    </row>
    <row r="640" spans="1:26" ht="22.5" customHeight="1" x14ac:dyDescent="0.25">
      <c r="A640" s="1" t="s">
        <v>629</v>
      </c>
      <c r="B640" s="1" t="s">
        <v>654</v>
      </c>
      <c r="C640" s="2" t="s">
        <v>0</v>
      </c>
      <c r="D640" s="22" t="s">
        <v>816</v>
      </c>
      <c r="E640" s="2"/>
      <c r="F640" s="22"/>
      <c r="G640" s="4" t="s">
        <v>7</v>
      </c>
      <c r="H640" s="112" t="s">
        <v>1559</v>
      </c>
      <c r="I640" s="4" t="s">
        <v>7</v>
      </c>
      <c r="J640" s="124" t="s">
        <v>1273</v>
      </c>
      <c r="K640" s="2" t="s">
        <v>0</v>
      </c>
      <c r="L640" s="1" t="s">
        <v>812</v>
      </c>
      <c r="M640" s="2"/>
      <c r="N640" s="125"/>
      <c r="O640" s="126">
        <f>1.5*10^-19</f>
        <v>1.5E-19</v>
      </c>
      <c r="P640" s="146">
        <v>1.5E-19</v>
      </c>
      <c r="Q640" s="118" t="s">
        <v>1548</v>
      </c>
      <c r="R640" s="1"/>
      <c r="S640" s="1" t="s">
        <v>1049</v>
      </c>
      <c r="T640" s="1"/>
      <c r="U640" s="24" t="s">
        <v>1034</v>
      </c>
      <c r="V640" s="116" t="b">
        <f t="shared" si="11"/>
        <v>0</v>
      </c>
      <c r="W640" s="1" t="b">
        <f t="shared" si="12"/>
        <v>0</v>
      </c>
      <c r="Y640" s="25" t="str">
        <f t="shared" si="13"/>
        <v>OH + HNO3-&gt;NO3 + H2O</v>
      </c>
      <c r="Z640" s="29">
        <f t="shared" si="14"/>
        <v>1.5E-19</v>
      </c>
    </row>
    <row r="641" spans="1:26" ht="22.5" customHeight="1" x14ac:dyDescent="0.25">
      <c r="A641" s="1" t="s">
        <v>527</v>
      </c>
      <c r="B641" s="1" t="s">
        <v>636</v>
      </c>
      <c r="C641" s="2" t="s">
        <v>0</v>
      </c>
      <c r="D641" s="1" t="s">
        <v>649</v>
      </c>
      <c r="E641" s="2"/>
      <c r="F641" s="22"/>
      <c r="G641" s="4" t="s">
        <v>7</v>
      </c>
      <c r="H641" s="112" t="s">
        <v>1559</v>
      </c>
      <c r="I641" s="4" t="s">
        <v>7</v>
      </c>
      <c r="J641" s="119" t="s">
        <v>688</v>
      </c>
      <c r="K641" s="2" t="s">
        <v>0</v>
      </c>
      <c r="L641" s="22" t="s">
        <v>639</v>
      </c>
      <c r="M641" s="2"/>
      <c r="N641" s="125"/>
      <c r="O641" s="126">
        <f>1.5*10^-17*EXP(-3600/Tg)</f>
        <v>1.0379031274853312E-22</v>
      </c>
      <c r="P641" s="146">
        <v>1.0379031274853312E-22</v>
      </c>
      <c r="Q641" s="118" t="s">
        <v>1313</v>
      </c>
      <c r="R641" s="1"/>
      <c r="S641" s="1" t="s">
        <v>1050</v>
      </c>
      <c r="T641" s="1"/>
      <c r="U641" s="24" t="s">
        <v>1034</v>
      </c>
      <c r="V641" s="116" t="b">
        <f t="shared" si="11"/>
        <v>0</v>
      </c>
      <c r="W641" s="1" t="b">
        <f t="shared" si="12"/>
        <v>0</v>
      </c>
      <c r="Y641" s="25" t="str">
        <f t="shared" si="13"/>
        <v>N + O2-&gt;NO + O</v>
      </c>
      <c r="Z641" s="29">
        <f t="shared" si="14"/>
        <v>1.0379031274853312E-22</v>
      </c>
    </row>
    <row r="642" spans="1:26" ht="22.5" customHeight="1" x14ac:dyDescent="0.25">
      <c r="A642" s="1" t="s">
        <v>590</v>
      </c>
      <c r="B642" s="1" t="s">
        <v>723</v>
      </c>
      <c r="C642" s="2" t="s">
        <v>0</v>
      </c>
      <c r="D642" s="22" t="s">
        <v>654</v>
      </c>
      <c r="E642" s="2"/>
      <c r="F642" s="22"/>
      <c r="G642" s="4" t="s">
        <v>7</v>
      </c>
      <c r="H642" s="112" t="s">
        <v>1559</v>
      </c>
      <c r="I642" s="4" t="s">
        <v>7</v>
      </c>
      <c r="J642" s="124" t="s">
        <v>1262</v>
      </c>
      <c r="K642" s="2" t="s">
        <v>0</v>
      </c>
      <c r="L642" s="1" t="s">
        <v>649</v>
      </c>
      <c r="M642" s="2"/>
      <c r="N642" s="125"/>
      <c r="O642" s="130">
        <f>1.6*10^-18*EXP(-1000/Tg)</f>
        <v>5.8993594795520917E-20</v>
      </c>
      <c r="P642" s="148">
        <v>5.8993594795520917E-20</v>
      </c>
      <c r="Q642" s="118" t="s">
        <v>1212</v>
      </c>
      <c r="R642" s="1"/>
      <c r="S642" s="1" t="s">
        <v>1049</v>
      </c>
      <c r="T642" s="1"/>
      <c r="U642" s="24" t="s">
        <v>691</v>
      </c>
      <c r="V642" s="116" t="b">
        <f t="shared" si="11"/>
        <v>0</v>
      </c>
      <c r="W642" s="1" t="b">
        <f t="shared" si="12"/>
        <v>0</v>
      </c>
      <c r="Y642" s="25" t="str">
        <f t="shared" si="13"/>
        <v>O3 + OH-&gt;HO2 + O2</v>
      </c>
      <c r="Z642" s="29">
        <f t="shared" si="14"/>
        <v>5.8993594795520917E-20</v>
      </c>
    </row>
    <row r="643" spans="1:26" ht="22.5" customHeight="1" x14ac:dyDescent="0.25">
      <c r="A643" s="1" t="s">
        <v>622</v>
      </c>
      <c r="B643" s="1" t="s">
        <v>699</v>
      </c>
      <c r="C643" s="2" t="s">
        <v>0</v>
      </c>
      <c r="D643" s="22" t="s">
        <v>654</v>
      </c>
      <c r="E643" s="2"/>
      <c r="F643" s="3"/>
      <c r="G643" s="4" t="s">
        <v>7</v>
      </c>
      <c r="H643" s="112" t="s">
        <v>1559</v>
      </c>
      <c r="I643" s="4" t="s">
        <v>7</v>
      </c>
      <c r="J643" s="119" t="s">
        <v>653</v>
      </c>
      <c r="K643" s="2" t="s">
        <v>0</v>
      </c>
      <c r="L643" s="1" t="s">
        <v>812</v>
      </c>
      <c r="M643" s="2"/>
      <c r="N643" s="125"/>
      <c r="O643" s="126">
        <f>3.2*10^-17*EXP(-2600/Tg)</f>
        <v>6.0052440508093554E-21</v>
      </c>
      <c r="P643" s="146">
        <v>6.0052440508093554E-21</v>
      </c>
      <c r="Q643" s="118" t="s">
        <v>1241</v>
      </c>
      <c r="R643" s="1"/>
      <c r="S643" s="1" t="s">
        <v>1049</v>
      </c>
      <c r="T643" s="1"/>
      <c r="U643" s="24" t="s">
        <v>691</v>
      </c>
      <c r="V643" s="116" t="b">
        <f t="shared" si="11"/>
        <v>0</v>
      </c>
      <c r="W643" s="1" t="b">
        <f t="shared" si="12"/>
        <v>0</v>
      </c>
      <c r="Y643" s="25" t="str">
        <f t="shared" si="13"/>
        <v>H2 + OH-&gt;H + H2O</v>
      </c>
      <c r="Z643" s="29">
        <f t="shared" si="14"/>
        <v>6.0052440508093554E-21</v>
      </c>
    </row>
    <row r="644" spans="1:26" ht="22.5" customHeight="1" x14ac:dyDescent="0.25">
      <c r="A644" s="1" t="s">
        <v>630</v>
      </c>
      <c r="B644" s="22" t="s">
        <v>1425</v>
      </c>
      <c r="C644" s="2"/>
      <c r="D644" s="22"/>
      <c r="E644" s="2"/>
      <c r="F644" s="22"/>
      <c r="G644" s="4" t="s">
        <v>7</v>
      </c>
      <c r="H644" s="112" t="s">
        <v>1559</v>
      </c>
      <c r="I644" s="4" t="s">
        <v>7</v>
      </c>
      <c r="J644" s="124" t="s">
        <v>1272</v>
      </c>
      <c r="K644" s="2" t="s">
        <v>0</v>
      </c>
      <c r="L644" s="22" t="s">
        <v>649</v>
      </c>
      <c r="M644" s="2"/>
      <c r="N644" s="125"/>
      <c r="O644" s="126">
        <f>2.2*10^-19*EXP(600/Tg)</f>
        <v>1.5937190134146045E-18</v>
      </c>
      <c r="P644" s="146">
        <v>1.5937190134146045E-18</v>
      </c>
      <c r="Q644" s="118" t="s">
        <v>1248</v>
      </c>
      <c r="R644" s="1"/>
      <c r="S644" s="1" t="s">
        <v>1049</v>
      </c>
      <c r="T644" s="1"/>
      <c r="U644" s="24" t="s">
        <v>1036</v>
      </c>
      <c r="V644" s="116" t="b">
        <f t="shared" si="11"/>
        <v>0</v>
      </c>
      <c r="W644" s="1" t="b">
        <f t="shared" si="12"/>
        <v>0</v>
      </c>
      <c r="Y644" s="25" t="str">
        <f t="shared" si="13"/>
        <v>2HO2 + -&gt;H2O2 + O2</v>
      </c>
      <c r="Z644" s="29">
        <f t="shared" si="14"/>
        <v>1.5937190134146045E-18</v>
      </c>
    </row>
    <row r="645" spans="1:26" ht="22.5" customHeight="1" x14ac:dyDescent="0.25">
      <c r="A645" s="1" t="s">
        <v>1315</v>
      </c>
      <c r="B645" s="1" t="s">
        <v>636</v>
      </c>
      <c r="C645" s="2" t="s">
        <v>0</v>
      </c>
      <c r="D645" s="1" t="s">
        <v>1489</v>
      </c>
      <c r="E645" s="2"/>
      <c r="F645" s="22"/>
      <c r="G645" s="4" t="s">
        <v>7</v>
      </c>
      <c r="H645" s="112" t="s">
        <v>1559</v>
      </c>
      <c r="I645" s="4" t="s">
        <v>7</v>
      </c>
      <c r="J645" s="119" t="s">
        <v>688</v>
      </c>
      <c r="K645" s="2" t="s">
        <v>0</v>
      </c>
      <c r="L645" s="22" t="s">
        <v>639</v>
      </c>
      <c r="M645" s="2"/>
      <c r="N645" s="125"/>
      <c r="O645" s="126">
        <f>10^-22</f>
        <v>1E-22</v>
      </c>
      <c r="P645" s="146">
        <v>1E-22</v>
      </c>
      <c r="Q645" s="118" t="s">
        <v>1314</v>
      </c>
      <c r="R645" s="1"/>
      <c r="S645" s="1" t="s">
        <v>1283</v>
      </c>
      <c r="T645" s="1"/>
      <c r="U645" s="24"/>
      <c r="V645" s="116" t="b">
        <f t="shared" si="11"/>
        <v>0</v>
      </c>
      <c r="W645" s="1" t="b">
        <f t="shared" si="12"/>
        <v>0</v>
      </c>
      <c r="Y645" s="25" t="str">
        <f t="shared" si="13"/>
        <v>N + O2(a1)-&gt;NO + O</v>
      </c>
      <c r="Z645" s="29">
        <f t="shared" si="14"/>
        <v>1E-22</v>
      </c>
    </row>
    <row r="646" spans="1:26" ht="22.5" customHeight="1" x14ac:dyDescent="0.25">
      <c r="A646" s="1" t="s">
        <v>621</v>
      </c>
      <c r="B646" s="1" t="s">
        <v>653</v>
      </c>
      <c r="C646" s="2" t="s">
        <v>0</v>
      </c>
      <c r="D646" s="22" t="s">
        <v>816</v>
      </c>
      <c r="E646" s="2"/>
      <c r="F646" s="22"/>
      <c r="G646" s="4" t="s">
        <v>7</v>
      </c>
      <c r="H646" s="112" t="s">
        <v>1559</v>
      </c>
      <c r="I646" s="4" t="s">
        <v>7</v>
      </c>
      <c r="J646" s="124" t="s">
        <v>1261</v>
      </c>
      <c r="K646" s="2" t="s">
        <v>0</v>
      </c>
      <c r="L646" s="1" t="s">
        <v>812</v>
      </c>
      <c r="M646" s="2"/>
      <c r="N646" s="125"/>
      <c r="O646" s="126">
        <f>1.39*10^-20*(Tg/298)^3.29*EXP(-3160/Tg)</f>
        <v>4.3402400921125825E-25</v>
      </c>
      <c r="P646" s="146">
        <v>4.3402400921125825E-25</v>
      </c>
      <c r="Q646" s="118" t="s">
        <v>1240</v>
      </c>
      <c r="R646" s="1"/>
      <c r="S646" s="1" t="s">
        <v>1049</v>
      </c>
      <c r="T646" s="1"/>
      <c r="U646" s="24" t="s">
        <v>1035</v>
      </c>
      <c r="V646" s="116" t="b">
        <f t="shared" si="11"/>
        <v>0</v>
      </c>
      <c r="W646" s="1" t="b">
        <f t="shared" si="12"/>
        <v>1</v>
      </c>
      <c r="Y646" s="25" t="str">
        <f t="shared" si="13"/>
        <v>H + HNO3-&gt;NO2 + H2O</v>
      </c>
      <c r="Z646" s="29">
        <f t="shared" si="14"/>
        <v>4.3402400921125825E-25</v>
      </c>
    </row>
    <row r="647" spans="1:26" ht="22.5" customHeight="1" x14ac:dyDescent="0.25">
      <c r="A647" s="1" t="s">
        <v>610</v>
      </c>
      <c r="B647" s="1" t="s">
        <v>674</v>
      </c>
      <c r="C647" s="2" t="s">
        <v>0</v>
      </c>
      <c r="D647" s="22" t="s">
        <v>687</v>
      </c>
      <c r="E647" s="2"/>
      <c r="F647" s="22"/>
      <c r="G647" s="4" t="s">
        <v>7</v>
      </c>
      <c r="H647" s="112" t="s">
        <v>1559</v>
      </c>
      <c r="I647" s="4" t="s">
        <v>7</v>
      </c>
      <c r="J647" s="124" t="s">
        <v>1261</v>
      </c>
      <c r="K647" s="2" t="s">
        <v>0</v>
      </c>
      <c r="L647" s="22" t="s">
        <v>740</v>
      </c>
      <c r="M647" s="2" t="s">
        <v>0</v>
      </c>
      <c r="N647" s="125" t="s">
        <v>687</v>
      </c>
      <c r="O647" s="126">
        <f>1*10^-9*(300/Tg)^3.5*EXP(-11000/Tg)</f>
        <v>1.6535177147722768E-25</v>
      </c>
      <c r="P647" s="146">
        <v>1.6535177147722768E-25</v>
      </c>
      <c r="Q647" s="118" t="s">
        <v>1229</v>
      </c>
      <c r="R647" s="1"/>
      <c r="S647" s="119" t="s">
        <v>1290</v>
      </c>
      <c r="T647" s="119"/>
      <c r="U647" s="24" t="s">
        <v>1036</v>
      </c>
      <c r="V647" s="116" t="b">
        <f t="shared" si="11"/>
        <v>0</v>
      </c>
      <c r="W647" s="1" t="b">
        <f t="shared" si="12"/>
        <v>1</v>
      </c>
      <c r="Y647" s="25" t="str">
        <f t="shared" si="13"/>
        <v>N2O5 + M-&gt;NO2 + NO3 + M</v>
      </c>
      <c r="Z647" s="29">
        <f t="shared" si="14"/>
        <v>1.6535177147722768E-25</v>
      </c>
    </row>
    <row r="648" spans="1:26" ht="22.5" customHeight="1" x14ac:dyDescent="0.25">
      <c r="A648" s="1" t="s">
        <v>634</v>
      </c>
      <c r="B648" s="22" t="s">
        <v>1424</v>
      </c>
      <c r="C648" s="2"/>
      <c r="D648" s="22"/>
      <c r="E648" s="2"/>
      <c r="F648" s="22"/>
      <c r="G648" s="4" t="s">
        <v>7</v>
      </c>
      <c r="H648" s="112" t="s">
        <v>1559</v>
      </c>
      <c r="I648" s="4" t="s">
        <v>7</v>
      </c>
      <c r="J648" s="119" t="s">
        <v>688</v>
      </c>
      <c r="K648" s="2" t="s">
        <v>0</v>
      </c>
      <c r="L648" s="22" t="s">
        <v>739</v>
      </c>
      <c r="M648" s="2" t="s">
        <v>0</v>
      </c>
      <c r="N648" s="128" t="s">
        <v>812</v>
      </c>
      <c r="O648" s="123">
        <f>1*10^-26</f>
        <v>9.999999999999999E-27</v>
      </c>
      <c r="P648" s="145">
        <v>9.999999999999999E-27</v>
      </c>
      <c r="Q648" s="118" t="s">
        <v>1250</v>
      </c>
      <c r="R648" s="1"/>
      <c r="S648" s="1" t="s">
        <v>1049</v>
      </c>
      <c r="T648" s="1"/>
      <c r="U648" s="24" t="s">
        <v>756</v>
      </c>
      <c r="V648" s="116" t="b">
        <f t="shared" si="11"/>
        <v>0</v>
      </c>
      <c r="W648" s="1" t="b">
        <f t="shared" si="12"/>
        <v>1</v>
      </c>
      <c r="X648" s="25" t="s">
        <v>1607</v>
      </c>
      <c r="Y648" s="25" t="str">
        <f t="shared" si="13"/>
        <v>2HNO2 + -&gt;NO + NO2 + H2O</v>
      </c>
      <c r="Z648" s="29">
        <f t="shared" si="14"/>
        <v>9.999999999999999E-27</v>
      </c>
    </row>
    <row r="649" spans="1:26" ht="22.5" hidden="1" customHeight="1" x14ac:dyDescent="0.25">
      <c r="A649" s="1" t="s">
        <v>101</v>
      </c>
      <c r="B649" s="1" t="s">
        <v>1668</v>
      </c>
      <c r="C649" s="2" t="s">
        <v>0</v>
      </c>
      <c r="D649" s="22" t="s">
        <v>1669</v>
      </c>
      <c r="E649" s="2"/>
      <c r="F649" s="3"/>
      <c r="G649" s="4" t="s">
        <v>7</v>
      </c>
      <c r="H649" s="112" t="s">
        <v>1556</v>
      </c>
      <c r="I649" s="4" t="s">
        <v>7</v>
      </c>
      <c r="J649" s="150" t="s">
        <v>1669</v>
      </c>
      <c r="K649" s="4" t="s">
        <v>0</v>
      </c>
      <c r="L649" s="22" t="s">
        <v>1566</v>
      </c>
      <c r="M649" s="2" t="s">
        <v>0</v>
      </c>
      <c r="N649" s="125" t="s">
        <v>1</v>
      </c>
      <c r="O649" s="123">
        <v>5.9999999999999999E-16</v>
      </c>
      <c r="P649" s="145"/>
      <c r="Q649" s="118" t="s">
        <v>1681</v>
      </c>
      <c r="R649" s="1"/>
      <c r="S649" s="1"/>
      <c r="T649" s="1"/>
      <c r="U649" s="24"/>
      <c r="V649" s="116"/>
      <c r="W649" s="1"/>
      <c r="Y649" s="25" t="str">
        <f t="shared" ref="Y649:Y657" si="15">B649&amp;" + "&amp;D649&amp;IF(F649&lt;&gt;""," + "&amp;F649,"")&amp;"-&gt;"&amp;J649&amp;" + "&amp;L649&amp;IF(N649&lt;&gt;""," + "&amp;N649,"")</f>
        <v>O2- + O3-&gt;O3 + O2 + e</v>
      </c>
      <c r="Z649" s="29">
        <f t="shared" ref="Z649:Z657" si="16">O649</f>
        <v>5.9999999999999999E-16</v>
      </c>
    </row>
    <row r="650" spans="1:26" ht="22.5" hidden="1" customHeight="1" x14ac:dyDescent="0.25">
      <c r="A650" s="1"/>
      <c r="B650" s="1" t="s">
        <v>1670</v>
      </c>
      <c r="C650" s="2" t="s">
        <v>0</v>
      </c>
      <c r="D650" s="22" t="s">
        <v>1669</v>
      </c>
      <c r="E650" s="2"/>
      <c r="F650" s="3"/>
      <c r="G650" s="4" t="s">
        <v>7</v>
      </c>
      <c r="H650" s="112" t="s">
        <v>1556</v>
      </c>
      <c r="I650" s="4" t="s">
        <v>7</v>
      </c>
      <c r="J650" s="150" t="s">
        <v>1675</v>
      </c>
      <c r="K650" s="4" t="s">
        <v>0</v>
      </c>
      <c r="L650" s="22" t="s">
        <v>1566</v>
      </c>
      <c r="M650" s="2" t="s">
        <v>0</v>
      </c>
      <c r="N650" s="125" t="s">
        <v>1</v>
      </c>
      <c r="O650" s="123">
        <v>1.0000000000000001E-18</v>
      </c>
      <c r="P650" s="145"/>
      <c r="Q650" s="118">
        <v>1.0000000000000001E-18</v>
      </c>
      <c r="R650" s="1"/>
      <c r="S650" s="1"/>
      <c r="T650" s="1"/>
      <c r="U650" s="24"/>
      <c r="V650" s="116"/>
      <c r="W650" s="1"/>
      <c r="Y650" s="25" t="str">
        <f t="shared" si="15"/>
        <v>O3- + O3-&gt;2O2 + O2 + e</v>
      </c>
      <c r="Z650" s="29">
        <f t="shared" si="16"/>
        <v>1.0000000000000001E-18</v>
      </c>
    </row>
    <row r="651" spans="1:26" ht="22.5" hidden="1" customHeight="1" x14ac:dyDescent="0.25">
      <c r="A651" s="1"/>
      <c r="B651" s="1" t="s">
        <v>1670</v>
      </c>
      <c r="C651" s="2" t="s">
        <v>0</v>
      </c>
      <c r="D651" s="22" t="s">
        <v>1565</v>
      </c>
      <c r="E651" s="2"/>
      <c r="F651" s="3"/>
      <c r="G651" s="4" t="s">
        <v>7</v>
      </c>
      <c r="H651" s="112" t="s">
        <v>1556</v>
      </c>
      <c r="I651" s="4" t="s">
        <v>7</v>
      </c>
      <c r="J651" s="150" t="s">
        <v>1676</v>
      </c>
      <c r="K651" s="4" t="s">
        <v>0</v>
      </c>
      <c r="L651" s="22" t="s">
        <v>1566</v>
      </c>
      <c r="M651" s="2" t="s">
        <v>0</v>
      </c>
      <c r="N651" s="125" t="s">
        <v>1</v>
      </c>
      <c r="O651" s="123">
        <v>9.9999999999999991E-22</v>
      </c>
      <c r="P651" s="145"/>
      <c r="Q651" s="118">
        <v>9.9999999999999991E-22</v>
      </c>
      <c r="R651" s="1"/>
      <c r="S651" s="1"/>
      <c r="T651" s="1"/>
      <c r="U651" s="24"/>
      <c r="V651" s="116"/>
      <c r="W651" s="1"/>
      <c r="Y651" s="25" t="str">
        <f t="shared" si="15"/>
        <v>O3- + N2-&gt;N2O + O2 + e</v>
      </c>
      <c r="Z651" s="29">
        <f t="shared" si="16"/>
        <v>9.9999999999999991E-22</v>
      </c>
    </row>
    <row r="652" spans="1:26" ht="22.5" hidden="1" customHeight="1" x14ac:dyDescent="0.25">
      <c r="A652" s="1"/>
      <c r="B652" s="1" t="s">
        <v>1670</v>
      </c>
      <c r="C652" s="2" t="s">
        <v>0</v>
      </c>
      <c r="D652" s="22" t="s">
        <v>1565</v>
      </c>
      <c r="E652" s="2" t="s">
        <v>0</v>
      </c>
      <c r="F652" s="22" t="s">
        <v>1565</v>
      </c>
      <c r="G652" s="4" t="s">
        <v>7</v>
      </c>
      <c r="H652" s="112" t="s">
        <v>1556</v>
      </c>
      <c r="I652" s="4" t="s">
        <v>7</v>
      </c>
      <c r="J652" s="150" t="s">
        <v>1676</v>
      </c>
      <c r="K652" s="4" t="s">
        <v>0</v>
      </c>
      <c r="L652" s="22" t="s">
        <v>1552</v>
      </c>
      <c r="M652" s="2" t="s">
        <v>0</v>
      </c>
      <c r="N652" s="125" t="s">
        <v>1</v>
      </c>
      <c r="O652" s="123">
        <f>1.5E-45*NM</f>
        <v>4.0500000000000008E-20</v>
      </c>
      <c r="P652" s="145"/>
      <c r="Q652" s="118">
        <v>1.5000000000000004E-45</v>
      </c>
      <c r="R652" s="1"/>
      <c r="S652" s="1"/>
      <c r="T652" s="1"/>
      <c r="U652" s="24"/>
      <c r="V652" s="116"/>
      <c r="W652" s="1"/>
      <c r="Y652" s="25" t="str">
        <f t="shared" si="15"/>
        <v>O3- + N2 + N2-&gt;N2O + 2M + e</v>
      </c>
      <c r="Z652" s="29">
        <f t="shared" si="16"/>
        <v>4.0500000000000008E-20</v>
      </c>
    </row>
    <row r="653" spans="1:26" ht="22.5" hidden="1" customHeight="1" x14ac:dyDescent="0.25">
      <c r="A653" s="1"/>
      <c r="B653" s="1" t="s">
        <v>1671</v>
      </c>
      <c r="C653" s="2" t="s">
        <v>0</v>
      </c>
      <c r="D653" s="22" t="s">
        <v>1</v>
      </c>
      <c r="E653" s="2"/>
      <c r="F653" s="3"/>
      <c r="G653" s="4" t="s">
        <v>7</v>
      </c>
      <c r="H653" s="112" t="s">
        <v>1562</v>
      </c>
      <c r="I653" s="4"/>
      <c r="J653" s="150" t="s">
        <v>653</v>
      </c>
      <c r="K653" s="2" t="s">
        <v>0</v>
      </c>
      <c r="L653" s="22" t="s">
        <v>1053</v>
      </c>
      <c r="M653" s="22"/>
      <c r="N653" s="125"/>
      <c r="O653" s="123">
        <f>2.32*10^-14*Ee^2*EXP(-0.13/Ee)</f>
        <v>1.2218298314060731E-13</v>
      </c>
      <c r="P653" s="145"/>
      <c r="Q653" s="118" t="s">
        <v>1682</v>
      </c>
      <c r="R653" s="1"/>
      <c r="S653" s="1"/>
      <c r="T653" s="1"/>
      <c r="U653" s="24"/>
      <c r="V653" s="116"/>
      <c r="W653" s="1"/>
      <c r="Y653" s="25" t="str">
        <f t="shared" si="15"/>
        <v>H- + e-&gt;H + 2e</v>
      </c>
      <c r="Z653" s="29">
        <f t="shared" si="16"/>
        <v>1.2218298314060731E-13</v>
      </c>
    </row>
    <row r="654" spans="1:26" ht="22.5" hidden="1" customHeight="1" x14ac:dyDescent="0.25">
      <c r="A654" s="1" t="s">
        <v>154</v>
      </c>
      <c r="B654" s="1" t="s">
        <v>1672</v>
      </c>
      <c r="C654" s="2" t="s">
        <v>0</v>
      </c>
      <c r="D654" s="22" t="s">
        <v>1566</v>
      </c>
      <c r="E654" s="2"/>
      <c r="F654" s="22"/>
      <c r="G654" s="4" t="s">
        <v>7</v>
      </c>
      <c r="H654" s="112" t="s">
        <v>1557</v>
      </c>
      <c r="I654" s="4" t="s">
        <v>7</v>
      </c>
      <c r="J654" s="152" t="s">
        <v>1677</v>
      </c>
      <c r="K654" s="2" t="s">
        <v>0</v>
      </c>
      <c r="L654" s="22" t="s">
        <v>639</v>
      </c>
      <c r="M654" s="2" t="s">
        <v>0</v>
      </c>
      <c r="N654" s="128" t="s">
        <v>1565</v>
      </c>
      <c r="O654" s="123">
        <v>2.0000000000000001E-17</v>
      </c>
      <c r="P654" s="145"/>
      <c r="Q654" s="118" t="s">
        <v>1683</v>
      </c>
      <c r="R654" s="1"/>
      <c r="S654" s="1"/>
      <c r="T654" s="1"/>
      <c r="U654" s="24"/>
      <c r="V654" s="116"/>
      <c r="W654" s="1"/>
      <c r="Y654" s="25" t="str">
        <f t="shared" si="15"/>
        <v>N3+ + O2-&gt;NO+ + O + N2</v>
      </c>
      <c r="Z654" s="29">
        <f t="shared" si="16"/>
        <v>2.0000000000000001E-17</v>
      </c>
    </row>
    <row r="655" spans="1:26" ht="22.5" hidden="1" customHeight="1" x14ac:dyDescent="0.25">
      <c r="A655" s="1" t="s">
        <v>216</v>
      </c>
      <c r="B655" s="1" t="s">
        <v>1668</v>
      </c>
      <c r="C655" s="2" t="s">
        <v>0</v>
      </c>
      <c r="D655" s="22" t="s">
        <v>1673</v>
      </c>
      <c r="E655" s="2"/>
      <c r="F655" s="22"/>
      <c r="G655" s="4" t="s">
        <v>7</v>
      </c>
      <c r="H655" s="112" t="s">
        <v>1557</v>
      </c>
      <c r="I655" s="4" t="s">
        <v>7</v>
      </c>
      <c r="J655" s="150" t="s">
        <v>1678</v>
      </c>
      <c r="K655" s="2" t="s">
        <v>0</v>
      </c>
      <c r="L655" s="22" t="s">
        <v>1679</v>
      </c>
      <c r="M655" s="2"/>
      <c r="N655" s="125"/>
      <c r="O655" s="123">
        <v>2.8000000000000001E-16</v>
      </c>
      <c r="P655" s="145"/>
      <c r="Q655" s="118" t="s">
        <v>1684</v>
      </c>
      <c r="R655" s="1"/>
      <c r="S655" s="1"/>
      <c r="T655" s="1"/>
      <c r="U655" s="24"/>
      <c r="V655" s="116"/>
      <c r="W655" s="1"/>
      <c r="Y655" s="25" t="str">
        <f t="shared" si="15"/>
        <v>O2- + HNO3-&gt;NO3- + NO2</v>
      </c>
      <c r="Z655" s="29">
        <f t="shared" si="16"/>
        <v>2.8000000000000001E-16</v>
      </c>
    </row>
    <row r="656" spans="1:26" ht="22.5" hidden="1" customHeight="1" x14ac:dyDescent="0.25">
      <c r="A656" s="1"/>
      <c r="B656" s="1" t="s">
        <v>1321</v>
      </c>
      <c r="C656" s="2" t="s">
        <v>0</v>
      </c>
      <c r="D656" s="1" t="s">
        <v>1</v>
      </c>
      <c r="E656" s="2"/>
      <c r="F656" s="22"/>
      <c r="G656" s="4" t="s">
        <v>7</v>
      </c>
      <c r="H656" s="112" t="s">
        <v>1562</v>
      </c>
      <c r="I656" s="4" t="s">
        <v>7</v>
      </c>
      <c r="J656" s="150" t="s">
        <v>654</v>
      </c>
      <c r="K656" s="2" t="s">
        <v>0</v>
      </c>
      <c r="L656" s="22" t="s">
        <v>1053</v>
      </c>
      <c r="M656" s="2"/>
      <c r="N656" s="125"/>
      <c r="O656" s="123">
        <f>9.67*10^-12*Ee^-1.9*EXP(-12.1/Ee)</f>
        <v>1.1210375066446791E-14</v>
      </c>
      <c r="P656" s="145"/>
      <c r="Q656" s="118" t="s">
        <v>1685</v>
      </c>
      <c r="R656" s="1"/>
      <c r="S656" s="1"/>
      <c r="T656" s="1"/>
      <c r="U656" s="24"/>
      <c r="V656" s="116"/>
      <c r="W656" s="1"/>
      <c r="Y656" s="25" t="str">
        <f t="shared" si="15"/>
        <v>OH- + e-&gt;OH + 2e</v>
      </c>
      <c r="Z656" s="29">
        <f t="shared" si="16"/>
        <v>1.1210375066446791E-14</v>
      </c>
    </row>
    <row r="657" spans="1:26" ht="22.5" customHeight="1" x14ac:dyDescent="0.25">
      <c r="A657" s="1" t="s">
        <v>633</v>
      </c>
      <c r="B657" s="1" t="s">
        <v>1674</v>
      </c>
      <c r="C657" s="2"/>
      <c r="D657" s="22"/>
      <c r="E657" s="2"/>
      <c r="F657" s="22"/>
      <c r="G657" s="4" t="s">
        <v>7</v>
      </c>
      <c r="H657" s="112" t="s">
        <v>1559</v>
      </c>
      <c r="I657" s="4" t="s">
        <v>7</v>
      </c>
      <c r="J657" s="152" t="s">
        <v>1680</v>
      </c>
      <c r="K657" s="2"/>
      <c r="L657" s="1"/>
      <c r="M657" s="2"/>
      <c r="N657" s="125"/>
      <c r="O657" s="123">
        <f>1.4*10^-21*EXP(-1600/Tg)</f>
        <v>7.1256394022723825E-24</v>
      </c>
      <c r="P657" s="145"/>
      <c r="Q657" s="118" t="s">
        <v>1686</v>
      </c>
      <c r="R657" s="1"/>
      <c r="S657" s="1"/>
      <c r="T657" s="1"/>
      <c r="U657" s="24"/>
      <c r="V657" s="116"/>
      <c r="W657" s="1"/>
      <c r="Y657" s="25" t="str">
        <f t="shared" si="15"/>
        <v xml:space="preserve">2HNO + -&gt;2N2O + </v>
      </c>
      <c r="Z657" s="29">
        <f t="shared" si="16"/>
        <v>7.1256394022723825E-24</v>
      </c>
    </row>
  </sheetData>
  <autoFilter ref="A2:AD657" xr:uid="{E2FB39FA-11C0-41AF-B813-4B35F0D3B76D}">
    <filterColumn colId="7">
      <filters>
        <filter val="N-N Chem"/>
        <filter val="N-N Chem (TBA)"/>
      </filters>
    </filterColumn>
    <sortState xmlns:xlrd2="http://schemas.microsoft.com/office/spreadsheetml/2017/richdata2" ref="A272:AB636">
      <sortCondition descending="1" ref="O2:O657"/>
    </sortState>
  </autoFilter>
  <phoneticPr fontId="33" type="noConversion"/>
  <conditionalFormatting sqref="A649:N657">
    <cfRule type="expression" dxfId="4" priority="1">
      <formula>SEARCH("NO2.",$AA649)</formula>
    </cfRule>
    <cfRule type="expression" dxfId="3" priority="2">
      <formula>SEARCH("DREC",$AA649)</formula>
    </cfRule>
    <cfRule type="expression" dxfId="2" priority="3">
      <formula>SEARCH("OH.",$AA649)</formula>
    </cfRule>
    <cfRule type="expression" dxfId="1" priority="4">
      <formula>SEARCH("NO.",$AA649)</formula>
    </cfRule>
    <cfRule type="expression" dxfId="0" priority="5">
      <formula>SEARCH("NO2-NO3",$AA649)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F556-1E05-4ADA-AEAF-E81BBF9D7E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BC22-4645-46C5-A431-C3CED6A38E93}">
  <dimension ref="A3:C23"/>
  <sheetViews>
    <sheetView workbookViewId="0">
      <selection activeCell="C3" sqref="C3"/>
    </sheetView>
  </sheetViews>
  <sheetFormatPr defaultRowHeight="15" x14ac:dyDescent="0.25"/>
  <sheetData>
    <row r="3" spans="1:3" x14ac:dyDescent="0.25">
      <c r="A3" t="s">
        <v>690</v>
      </c>
      <c r="B3" s="143" t="s">
        <v>1574</v>
      </c>
      <c r="C3" t="s">
        <v>1586</v>
      </c>
    </row>
    <row r="4" spans="1:3" x14ac:dyDescent="0.25">
      <c r="A4" t="s">
        <v>691</v>
      </c>
      <c r="B4" s="143" t="s">
        <v>1575</v>
      </c>
      <c r="C4" t="s">
        <v>1587</v>
      </c>
    </row>
    <row r="5" spans="1:3" x14ac:dyDescent="0.25">
      <c r="A5" t="s">
        <v>702</v>
      </c>
      <c r="B5" s="143" t="s">
        <v>1576</v>
      </c>
      <c r="C5" t="s">
        <v>1588</v>
      </c>
    </row>
    <row r="6" spans="1:3" x14ac:dyDescent="0.25">
      <c r="A6" t="s">
        <v>703</v>
      </c>
      <c r="B6" s="143" t="s">
        <v>1577</v>
      </c>
    </row>
    <row r="7" spans="1:3" x14ac:dyDescent="0.25">
      <c r="A7" t="s">
        <v>755</v>
      </c>
      <c r="B7" s="143" t="s">
        <v>1578</v>
      </c>
      <c r="C7" t="s">
        <v>1589</v>
      </c>
    </row>
    <row r="8" spans="1:3" x14ac:dyDescent="0.25">
      <c r="A8" t="s">
        <v>756</v>
      </c>
      <c r="B8" s="143" t="s">
        <v>1579</v>
      </c>
      <c r="C8" t="s">
        <v>1573</v>
      </c>
    </row>
    <row r="9" spans="1:3" x14ac:dyDescent="0.25">
      <c r="A9" t="s">
        <v>777</v>
      </c>
      <c r="B9" s="143" t="s">
        <v>1580</v>
      </c>
      <c r="C9" t="s">
        <v>1590</v>
      </c>
    </row>
    <row r="10" spans="1:3" x14ac:dyDescent="0.25">
      <c r="A10" t="s">
        <v>780</v>
      </c>
      <c r="B10" s="143" t="s">
        <v>756</v>
      </c>
      <c r="C10" t="s">
        <v>1591</v>
      </c>
    </row>
    <row r="11" spans="1:3" x14ac:dyDescent="0.25">
      <c r="A11" t="s">
        <v>794</v>
      </c>
      <c r="B11" s="143" t="s">
        <v>690</v>
      </c>
      <c r="C11" t="s">
        <v>1592</v>
      </c>
    </row>
    <row r="12" spans="1:3" x14ac:dyDescent="0.25">
      <c r="A12" t="s">
        <v>796</v>
      </c>
      <c r="B12" s="143" t="s">
        <v>1581</v>
      </c>
      <c r="C12" t="s">
        <v>1593</v>
      </c>
    </row>
    <row r="13" spans="1:3" x14ac:dyDescent="0.25">
      <c r="A13" t="s">
        <v>805</v>
      </c>
      <c r="B13" s="143" t="s">
        <v>691</v>
      </c>
      <c r="C13" t="s">
        <v>1594</v>
      </c>
    </row>
    <row r="14" spans="1:3" x14ac:dyDescent="0.25">
      <c r="A14" t="s">
        <v>806</v>
      </c>
      <c r="B14" s="143" t="s">
        <v>1582</v>
      </c>
      <c r="C14" t="s">
        <v>1595</v>
      </c>
    </row>
    <row r="15" spans="1:3" x14ac:dyDescent="0.25">
      <c r="A15" t="s">
        <v>807</v>
      </c>
      <c r="B15" s="143" t="s">
        <v>1583</v>
      </c>
      <c r="C15" t="s">
        <v>1596</v>
      </c>
    </row>
    <row r="16" spans="1:3" x14ac:dyDescent="0.25">
      <c r="A16" t="s">
        <v>1031</v>
      </c>
      <c r="B16" s="143" t="s">
        <v>1584</v>
      </c>
      <c r="C16" t="s">
        <v>1597</v>
      </c>
    </row>
    <row r="17" spans="1:3" x14ac:dyDescent="0.25">
      <c r="A17" t="s">
        <v>1032</v>
      </c>
      <c r="B17" s="143" t="s">
        <v>1585</v>
      </c>
      <c r="C17" t="s">
        <v>1598</v>
      </c>
    </row>
    <row r="18" spans="1:3" x14ac:dyDescent="0.25">
      <c r="A18" t="s">
        <v>1033</v>
      </c>
      <c r="B18" s="143" t="s">
        <v>702</v>
      </c>
      <c r="C18" t="s">
        <v>1601</v>
      </c>
    </row>
    <row r="19" spans="1:3" x14ac:dyDescent="0.25">
      <c r="A19" t="s">
        <v>1034</v>
      </c>
      <c r="B19" s="143" t="s">
        <v>704</v>
      </c>
      <c r="C19" t="s">
        <v>1599</v>
      </c>
    </row>
    <row r="20" spans="1:3" x14ac:dyDescent="0.25">
      <c r="A20" t="s">
        <v>1036</v>
      </c>
      <c r="B20" s="143" t="s">
        <v>755</v>
      </c>
      <c r="C20" t="s">
        <v>1602</v>
      </c>
    </row>
    <row r="21" spans="1:3" x14ac:dyDescent="0.25">
      <c r="A21" t="s">
        <v>1035</v>
      </c>
      <c r="B21" s="143" t="s">
        <v>777</v>
      </c>
      <c r="C21" t="s">
        <v>1600</v>
      </c>
    </row>
    <row r="22" spans="1:3" x14ac:dyDescent="0.25">
      <c r="A22" t="s">
        <v>1037</v>
      </c>
      <c r="B22" s="143" t="s">
        <v>780</v>
      </c>
      <c r="C22" t="s">
        <v>1603</v>
      </c>
    </row>
    <row r="23" spans="1:3" x14ac:dyDescent="0.25">
      <c r="A23" t="s">
        <v>1039</v>
      </c>
      <c r="B23" s="143" t="s">
        <v>794</v>
      </c>
      <c r="C23" t="s">
        <v>1604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E343-4207-436D-B638-28B6DCB4DA20}">
  <sheetPr filterMode="1"/>
  <dimension ref="A1:J63"/>
  <sheetViews>
    <sheetView workbookViewId="0">
      <selection activeCell="K38" sqref="G38:K38"/>
    </sheetView>
  </sheetViews>
  <sheetFormatPr defaultRowHeight="15" x14ac:dyDescent="0.25"/>
  <sheetData>
    <row r="1" spans="1:10" x14ac:dyDescent="0.25">
      <c r="A1" s="114"/>
      <c r="G1" s="153" t="s">
        <v>1667</v>
      </c>
      <c r="H1" t="s">
        <v>1428</v>
      </c>
      <c r="I1" t="s">
        <v>735</v>
      </c>
      <c r="J1" t="s">
        <v>1443</v>
      </c>
    </row>
    <row r="2" spans="1:10" hidden="1" x14ac:dyDescent="0.25">
      <c r="A2" s="24" t="s">
        <v>690</v>
      </c>
      <c r="G2" s="114" t="s">
        <v>653</v>
      </c>
      <c r="H2">
        <f>COUNTIFS(Reactions!$B:$B,"="&amp;$G2,Reactions!$D:$D,"="&amp;H$1)+COUNTIFS(Reactions!$D:$D,"="&amp;$G2,Reactions!$B:$B,"="&amp;H$1)</f>
        <v>0</v>
      </c>
      <c r="I2">
        <f>COUNTIFS(Reactions!$B:$B,"="&amp;$G2,Reactions!$D:$D,"="&amp;I$1)+COUNTIFS(Reactions!$D:$D,"="&amp;$G2,Reactions!$B:$B,"="&amp;I$1)</f>
        <v>1</v>
      </c>
      <c r="J2">
        <f>COUNTIFS(Reactions!$B:$B,"="&amp;$G2,Reactions!$D:$D,"="&amp;J$1)+COUNTIFS(Reactions!$D:$D,"="&amp;$G2,Reactions!$B:$B,"="&amp;J$1)</f>
        <v>0</v>
      </c>
    </row>
    <row r="3" spans="1:10" ht="17.25" hidden="1" x14ac:dyDescent="0.25">
      <c r="A3" s="24" t="s">
        <v>691</v>
      </c>
      <c r="G3" s="1" t="s">
        <v>1323</v>
      </c>
      <c r="H3">
        <f>COUNTIFS(Reactions!$B:$B,"="&amp;$G3,Reactions!$D:$D,"="&amp;H$1)+COUNTIFS(Reactions!$D:$D,"="&amp;$G3,Reactions!$B:$B,"="&amp;H$1)</f>
        <v>0</v>
      </c>
      <c r="I3">
        <f>COUNTIFS(Reactions!$B:$B,"="&amp;$G3,Reactions!$D:$D,"="&amp;I$1)+COUNTIFS(Reactions!$D:$D,"="&amp;$G3,Reactions!$B:$B,"="&amp;I$1)</f>
        <v>1</v>
      </c>
      <c r="J3">
        <f>COUNTIFS(Reactions!$B:$B,"="&amp;$G3,Reactions!$D:$D,"="&amp;J$1)+COUNTIFS(Reactions!$D:$D,"="&amp;$G3,Reactions!$B:$B,"="&amp;J$1)</f>
        <v>1</v>
      </c>
    </row>
    <row r="4" spans="1:10" ht="17.25" hidden="1" x14ac:dyDescent="0.25">
      <c r="A4" s="24" t="s">
        <v>702</v>
      </c>
      <c r="G4" s="1" t="s">
        <v>685</v>
      </c>
      <c r="H4">
        <f>COUNTIFS(Reactions!$B:$B,"="&amp;$G4,Reactions!$D:$D,"="&amp;H$1)+COUNTIFS(Reactions!$D:$D,"="&amp;$G4,Reactions!$B:$B,"="&amp;H$1)</f>
        <v>0</v>
      </c>
      <c r="I4">
        <f>COUNTIFS(Reactions!$B:$B,"="&amp;$G4,Reactions!$D:$D,"="&amp;I$1)+COUNTIFS(Reactions!$D:$D,"="&amp;$G4,Reactions!$B:$B,"="&amp;I$1)</f>
        <v>1</v>
      </c>
      <c r="J4">
        <f>COUNTIFS(Reactions!$B:$B,"="&amp;$G4,Reactions!$D:$D,"="&amp;J$1)+COUNTIFS(Reactions!$D:$D,"="&amp;$G4,Reactions!$B:$B,"="&amp;J$1)</f>
        <v>1</v>
      </c>
    </row>
    <row r="5" spans="1:10" ht="18" x14ac:dyDescent="0.25">
      <c r="A5" s="24" t="s">
        <v>703</v>
      </c>
      <c r="G5" s="1" t="s">
        <v>640</v>
      </c>
      <c r="H5">
        <f>COUNTIFS(Reactions!$B:$B,"="&amp;$G5,Reactions!$D:$D,"="&amp;H$1)+COUNTIFS(Reactions!$D:$D,"="&amp;$G5,Reactions!$B:$B,"="&amp;H$1)</f>
        <v>0</v>
      </c>
      <c r="I5">
        <f>COUNTIFS(Reactions!$B:$B,"="&amp;$G5,Reactions!$D:$D,"="&amp;I$1)+COUNTIFS(Reactions!$D:$D,"="&amp;$G5,Reactions!$B:$B,"="&amp;I$1)</f>
        <v>0</v>
      </c>
      <c r="J5">
        <f>COUNTIFS(Reactions!$B:$B,"="&amp;$G5,Reactions!$D:$D,"="&amp;J$1)+COUNTIFS(Reactions!$D:$D,"="&amp;$G5,Reactions!$B:$B,"="&amp;J$1)</f>
        <v>0</v>
      </c>
    </row>
    <row r="6" spans="1:10" ht="18" hidden="1" x14ac:dyDescent="0.25">
      <c r="A6" s="24" t="s">
        <v>755</v>
      </c>
      <c r="G6" s="1" t="s">
        <v>835</v>
      </c>
      <c r="H6">
        <f>COUNTIFS(Reactions!$B:$B,"="&amp;$G6,Reactions!$D:$D,"="&amp;H$1)+COUNTIFS(Reactions!$D:$D,"="&amp;$G6,Reactions!$B:$B,"="&amp;H$1)</f>
        <v>0</v>
      </c>
      <c r="I6">
        <f>COUNTIFS(Reactions!$B:$B,"="&amp;$G6,Reactions!$D:$D,"="&amp;I$1)+COUNTIFS(Reactions!$D:$D,"="&amp;$G6,Reactions!$B:$B,"="&amp;I$1)</f>
        <v>2</v>
      </c>
      <c r="J6">
        <f>COUNTIFS(Reactions!$B:$B,"="&amp;$G6,Reactions!$D:$D,"="&amp;J$1)+COUNTIFS(Reactions!$D:$D,"="&amp;$G6,Reactions!$B:$B,"="&amp;J$1)</f>
        <v>2</v>
      </c>
    </row>
    <row r="7" spans="1:10" ht="18" x14ac:dyDescent="0.25">
      <c r="A7" s="24" t="s">
        <v>756</v>
      </c>
      <c r="G7" s="3" t="s">
        <v>641</v>
      </c>
      <c r="H7">
        <f>COUNTIFS(Reactions!$B:$B,"="&amp;$G7,Reactions!$D:$D,"="&amp;H$1)+COUNTIFS(Reactions!$D:$D,"="&amp;$G7,Reactions!$B:$B,"="&amp;H$1)</f>
        <v>0</v>
      </c>
      <c r="I7">
        <f>COUNTIFS(Reactions!$B:$B,"="&amp;$G7,Reactions!$D:$D,"="&amp;I$1)+COUNTIFS(Reactions!$D:$D,"="&amp;$G7,Reactions!$B:$B,"="&amp;I$1)</f>
        <v>0</v>
      </c>
      <c r="J7">
        <f>COUNTIFS(Reactions!$B:$B,"="&amp;$G7,Reactions!$D:$D,"="&amp;J$1)+COUNTIFS(Reactions!$D:$D,"="&amp;$G7,Reactions!$B:$B,"="&amp;J$1)</f>
        <v>0</v>
      </c>
    </row>
    <row r="8" spans="1:10" ht="18" hidden="1" x14ac:dyDescent="0.25">
      <c r="A8" s="24" t="s">
        <v>777</v>
      </c>
      <c r="G8" s="1" t="s">
        <v>696</v>
      </c>
      <c r="H8">
        <f>COUNTIFS(Reactions!$B:$B,"="&amp;$G8,Reactions!$D:$D,"="&amp;H$1)+COUNTIFS(Reactions!$D:$D,"="&amp;$G8,Reactions!$B:$B,"="&amp;H$1)</f>
        <v>0</v>
      </c>
      <c r="I8">
        <f>COUNTIFS(Reactions!$B:$B,"="&amp;$G8,Reactions!$D:$D,"="&amp;I$1)+COUNTIFS(Reactions!$D:$D,"="&amp;$G8,Reactions!$B:$B,"="&amp;I$1)</f>
        <v>1</v>
      </c>
      <c r="J8">
        <f>COUNTIFS(Reactions!$B:$B,"="&amp;$G8,Reactions!$D:$D,"="&amp;J$1)+COUNTIFS(Reactions!$D:$D,"="&amp;$G8,Reactions!$B:$B,"="&amp;J$1)</f>
        <v>1</v>
      </c>
    </row>
    <row r="9" spans="1:10" ht="18" x14ac:dyDescent="0.25">
      <c r="A9" s="24" t="s">
        <v>780</v>
      </c>
      <c r="G9" s="22" t="s">
        <v>840</v>
      </c>
      <c r="H9">
        <f>COUNTIFS(Reactions!$B:$B,"="&amp;$G9,Reactions!$D:$D,"="&amp;H$1)+COUNTIFS(Reactions!$D:$D,"="&amp;$G9,Reactions!$B:$B,"="&amp;H$1)</f>
        <v>0</v>
      </c>
      <c r="I9">
        <f>COUNTIFS(Reactions!$B:$B,"="&amp;$G9,Reactions!$D:$D,"="&amp;I$1)+COUNTIFS(Reactions!$D:$D,"="&amp;$G9,Reactions!$B:$B,"="&amp;I$1)</f>
        <v>0</v>
      </c>
      <c r="J9">
        <f>COUNTIFS(Reactions!$B:$B,"="&amp;$G9,Reactions!$D:$D,"="&amp;J$1)+COUNTIFS(Reactions!$D:$D,"="&amp;$G9,Reactions!$B:$B,"="&amp;J$1)</f>
        <v>0</v>
      </c>
    </row>
    <row r="10" spans="1:10" ht="18" x14ac:dyDescent="0.25">
      <c r="A10" s="24" t="s">
        <v>794</v>
      </c>
      <c r="G10" s="1" t="s">
        <v>836</v>
      </c>
      <c r="H10">
        <f>COUNTIFS(Reactions!$B:$B,"="&amp;$G10,Reactions!$D:$D,"="&amp;H$1)+COUNTIFS(Reactions!$D:$D,"="&amp;$G10,Reactions!$B:$B,"="&amp;H$1)</f>
        <v>0</v>
      </c>
      <c r="I10">
        <f>COUNTIFS(Reactions!$B:$B,"="&amp;$G10,Reactions!$D:$D,"="&amp;I$1)+COUNTIFS(Reactions!$D:$D,"="&amp;$G10,Reactions!$B:$B,"="&amp;I$1)</f>
        <v>0</v>
      </c>
      <c r="J10">
        <f>COUNTIFS(Reactions!$B:$B,"="&amp;$G10,Reactions!$D:$D,"="&amp;J$1)+COUNTIFS(Reactions!$D:$D,"="&amp;$G10,Reactions!$B:$B,"="&amp;J$1)</f>
        <v>1</v>
      </c>
    </row>
    <row r="11" spans="1:10" ht="18" x14ac:dyDescent="0.25">
      <c r="A11" s="24" t="s">
        <v>796</v>
      </c>
      <c r="G11" s="1" t="s">
        <v>697</v>
      </c>
      <c r="H11">
        <f>COUNTIFS(Reactions!$B:$B,"="&amp;$G11,Reactions!$D:$D,"="&amp;H$1)+COUNTIFS(Reactions!$D:$D,"="&amp;$G11,Reactions!$B:$B,"="&amp;H$1)</f>
        <v>0</v>
      </c>
      <c r="I11">
        <f>COUNTIFS(Reactions!$B:$B,"="&amp;$G11,Reactions!$D:$D,"="&amp;I$1)+COUNTIFS(Reactions!$D:$D,"="&amp;$G11,Reactions!$B:$B,"="&amp;I$1)</f>
        <v>0</v>
      </c>
      <c r="J11">
        <f>COUNTIFS(Reactions!$B:$B,"="&amp;$G11,Reactions!$D:$D,"="&amp;J$1)+COUNTIFS(Reactions!$D:$D,"="&amp;$G11,Reactions!$B:$B,"="&amp;J$1)</f>
        <v>0</v>
      </c>
    </row>
    <row r="12" spans="1:10" ht="18" x14ac:dyDescent="0.25">
      <c r="A12" s="24" t="s">
        <v>805</v>
      </c>
      <c r="G12" s="1" t="s">
        <v>1644</v>
      </c>
      <c r="H12">
        <f>COUNTIFS(Reactions!$B:$B,"="&amp;$G12,Reactions!$D:$D,"="&amp;H$1)+COUNTIFS(Reactions!$D:$D,"="&amp;$G12,Reactions!$B:$B,"="&amp;H$1)</f>
        <v>0</v>
      </c>
      <c r="I12">
        <f>COUNTIFS(Reactions!$B:$B,"="&amp;$G12,Reactions!$D:$D,"="&amp;I$1)+COUNTIFS(Reactions!$D:$D,"="&amp;$G12,Reactions!$B:$B,"="&amp;I$1)</f>
        <v>0</v>
      </c>
      <c r="J12">
        <f>COUNTIFS(Reactions!$B:$B,"="&amp;$G12,Reactions!$D:$D,"="&amp;J$1)+COUNTIFS(Reactions!$D:$D,"="&amp;$G12,Reactions!$B:$B,"="&amp;J$1)</f>
        <v>1</v>
      </c>
    </row>
    <row r="13" spans="1:10" ht="18" x14ac:dyDescent="0.25">
      <c r="A13" s="24" t="s">
        <v>806</v>
      </c>
      <c r="G13" s="1" t="s">
        <v>1647</v>
      </c>
      <c r="H13">
        <f>COUNTIFS(Reactions!$B:$B,"="&amp;$G13,Reactions!$D:$D,"="&amp;H$1)+COUNTIFS(Reactions!$D:$D,"="&amp;$G13,Reactions!$B:$B,"="&amp;H$1)</f>
        <v>0</v>
      </c>
      <c r="I13">
        <f>COUNTIFS(Reactions!$B:$B,"="&amp;$G13,Reactions!$D:$D,"="&amp;I$1)+COUNTIFS(Reactions!$D:$D,"="&amp;$G13,Reactions!$B:$B,"="&amp;I$1)</f>
        <v>0</v>
      </c>
      <c r="J13">
        <f>COUNTIFS(Reactions!$B:$B,"="&amp;$G13,Reactions!$D:$D,"="&amp;J$1)+COUNTIFS(Reactions!$D:$D,"="&amp;$G13,Reactions!$B:$B,"="&amp;J$1)</f>
        <v>0</v>
      </c>
    </row>
    <row r="14" spans="1:10" hidden="1" x14ac:dyDescent="0.25">
      <c r="A14" s="24" t="s">
        <v>807</v>
      </c>
      <c r="G14" s="1" t="s">
        <v>811</v>
      </c>
      <c r="H14">
        <f>COUNTIFS(Reactions!$B:$B,"="&amp;$G14,Reactions!$D:$D,"="&amp;H$1)+COUNTIFS(Reactions!$D:$D,"="&amp;$G14,Reactions!$B:$B,"="&amp;H$1)</f>
        <v>0</v>
      </c>
      <c r="I14">
        <f>COUNTIFS(Reactions!$B:$B,"="&amp;$G14,Reactions!$D:$D,"="&amp;I$1)+COUNTIFS(Reactions!$D:$D,"="&amp;$G14,Reactions!$B:$B,"="&amp;I$1)</f>
        <v>2</v>
      </c>
      <c r="J14">
        <f>COUNTIFS(Reactions!$B:$B,"="&amp;$G14,Reactions!$D:$D,"="&amp;J$1)+COUNTIFS(Reactions!$D:$D,"="&amp;$G14,Reactions!$B:$B,"="&amp;J$1)</f>
        <v>0</v>
      </c>
    </row>
    <row r="15" spans="1:10" ht="18" x14ac:dyDescent="0.25">
      <c r="A15" s="24" t="s">
        <v>1031</v>
      </c>
      <c r="G15" s="22" t="s">
        <v>818</v>
      </c>
      <c r="H15">
        <f>COUNTIFS(Reactions!$B:$B,"="&amp;$G15,Reactions!$D:$D,"="&amp;H$1)+COUNTIFS(Reactions!$D:$D,"="&amp;$G15,Reactions!$B:$B,"="&amp;H$1)</f>
        <v>0</v>
      </c>
      <c r="I15">
        <f>COUNTIFS(Reactions!$B:$B,"="&amp;$G15,Reactions!$D:$D,"="&amp;I$1)+COUNTIFS(Reactions!$D:$D,"="&amp;$G15,Reactions!$B:$B,"="&amp;I$1)</f>
        <v>0</v>
      </c>
      <c r="J15">
        <f>COUNTIFS(Reactions!$B:$B,"="&amp;$G15,Reactions!$D:$D,"="&amp;J$1)+COUNTIFS(Reactions!$D:$D,"="&amp;$G15,Reactions!$B:$B,"="&amp;J$1)</f>
        <v>0</v>
      </c>
    </row>
    <row r="16" spans="1:10" ht="18" x14ac:dyDescent="0.25">
      <c r="A16" s="24" t="s">
        <v>1032</v>
      </c>
      <c r="G16" s="22" t="s">
        <v>816</v>
      </c>
      <c r="H16">
        <f>COUNTIFS(Reactions!$B:$B,"="&amp;$G16,Reactions!$D:$D,"="&amp;H$1)+COUNTIFS(Reactions!$D:$D,"="&amp;$G16,Reactions!$B:$B,"="&amp;H$1)</f>
        <v>0</v>
      </c>
      <c r="I16">
        <f>COUNTIFS(Reactions!$B:$B,"="&amp;$G16,Reactions!$D:$D,"="&amp;I$1)+COUNTIFS(Reactions!$D:$D,"="&amp;$G16,Reactions!$B:$B,"="&amp;I$1)</f>
        <v>0</v>
      </c>
      <c r="J16">
        <f>COUNTIFS(Reactions!$B:$B,"="&amp;$G16,Reactions!$D:$D,"="&amp;J$1)+COUNTIFS(Reactions!$D:$D,"="&amp;$G16,Reactions!$B:$B,"="&amp;J$1)</f>
        <v>0</v>
      </c>
    </row>
    <row r="17" spans="1:10" ht="18" x14ac:dyDescent="0.25">
      <c r="A17" s="24" t="s">
        <v>1033</v>
      </c>
      <c r="G17" s="22" t="s">
        <v>767</v>
      </c>
      <c r="H17">
        <f>COUNTIFS(Reactions!$B:$B,"="&amp;$G17,Reactions!$D:$D,"="&amp;H$1)+COUNTIFS(Reactions!$D:$D,"="&amp;$G17,Reactions!$B:$B,"="&amp;H$1)</f>
        <v>0</v>
      </c>
      <c r="I17">
        <f>COUNTIFS(Reactions!$B:$B,"="&amp;$G17,Reactions!$D:$D,"="&amp;I$1)+COUNTIFS(Reactions!$D:$D,"="&amp;$G17,Reactions!$B:$B,"="&amp;I$1)</f>
        <v>0</v>
      </c>
      <c r="J17">
        <f>COUNTIFS(Reactions!$B:$B,"="&amp;$G17,Reactions!$D:$D,"="&amp;J$1)+COUNTIFS(Reactions!$D:$D,"="&amp;$G17,Reactions!$B:$B,"="&amp;J$1)</f>
        <v>0</v>
      </c>
    </row>
    <row r="18" spans="1:10" x14ac:dyDescent="0.25">
      <c r="A18" s="24" t="s">
        <v>1034</v>
      </c>
      <c r="G18" s="22" t="s">
        <v>687</v>
      </c>
      <c r="H18">
        <f>COUNTIFS(Reactions!$B:$B,"="&amp;$G18,Reactions!$D:$D,"="&amp;H$1)+COUNTIFS(Reactions!$D:$D,"="&amp;$G18,Reactions!$B:$B,"="&amp;H$1)</f>
        <v>0</v>
      </c>
      <c r="I18">
        <f>COUNTIFS(Reactions!$B:$B,"="&amp;$G18,Reactions!$D:$D,"="&amp;I$1)+COUNTIFS(Reactions!$D:$D,"="&amp;$G18,Reactions!$B:$B,"="&amp;I$1)</f>
        <v>0</v>
      </c>
      <c r="J18">
        <f>COUNTIFS(Reactions!$B:$B,"="&amp;$G18,Reactions!$D:$D,"="&amp;J$1)+COUNTIFS(Reactions!$D:$D,"="&amp;$G18,Reactions!$B:$B,"="&amp;J$1)</f>
        <v>0</v>
      </c>
    </row>
    <row r="19" spans="1:10" hidden="1" x14ac:dyDescent="0.25">
      <c r="A19" s="24" t="s">
        <v>1036</v>
      </c>
      <c r="G19" s="1" t="s">
        <v>636</v>
      </c>
      <c r="H19">
        <f>COUNTIFS(Reactions!$B:$B,"="&amp;$G19,Reactions!$D:$D,"="&amp;H$1)+COUNTIFS(Reactions!$D:$D,"="&amp;$G19,Reactions!$B:$B,"="&amp;H$1)</f>
        <v>0</v>
      </c>
      <c r="I19">
        <f>COUNTIFS(Reactions!$B:$B,"="&amp;$G19,Reactions!$D:$D,"="&amp;I$1)+COUNTIFS(Reactions!$D:$D,"="&amp;$G19,Reactions!$B:$B,"="&amp;I$1)</f>
        <v>1</v>
      </c>
      <c r="J19">
        <f>COUNTIFS(Reactions!$B:$B,"="&amp;$G19,Reactions!$D:$D,"="&amp;J$1)+COUNTIFS(Reactions!$D:$D,"="&amp;$G19,Reactions!$B:$B,"="&amp;J$1)</f>
        <v>0</v>
      </c>
    </row>
    <row r="20" spans="1:10" ht="17.25" hidden="1" x14ac:dyDescent="0.25">
      <c r="A20" s="24" t="s">
        <v>1035</v>
      </c>
      <c r="G20" s="1" t="s">
        <v>9</v>
      </c>
      <c r="H20">
        <f>COUNTIFS(Reactions!$B:$B,"="&amp;$G20,Reactions!$D:$D,"="&amp;H$1)+COUNTIFS(Reactions!$D:$D,"="&amp;$G20,Reactions!$B:$B,"="&amp;H$1)</f>
        <v>1</v>
      </c>
      <c r="I20">
        <f>COUNTIFS(Reactions!$B:$B,"="&amp;$G20,Reactions!$D:$D,"="&amp;I$1)+COUNTIFS(Reactions!$D:$D,"="&amp;$G20,Reactions!$B:$B,"="&amp;I$1)</f>
        <v>2</v>
      </c>
      <c r="J20">
        <f>COUNTIFS(Reactions!$B:$B,"="&amp;$G20,Reactions!$D:$D,"="&amp;J$1)+COUNTIFS(Reactions!$D:$D,"="&amp;$G20,Reactions!$B:$B,"="&amp;J$1)</f>
        <v>3</v>
      </c>
    </row>
    <row r="21" spans="1:10" ht="17.25" hidden="1" x14ac:dyDescent="0.25">
      <c r="A21" s="24" t="s">
        <v>1037</v>
      </c>
      <c r="G21" s="1" t="s">
        <v>1343</v>
      </c>
      <c r="H21">
        <f>COUNTIFS(Reactions!$B:$B,"="&amp;$G21,Reactions!$D:$D,"="&amp;H$1)+COUNTIFS(Reactions!$D:$D,"="&amp;$G21,Reactions!$B:$B,"="&amp;H$1)</f>
        <v>1</v>
      </c>
      <c r="I21">
        <f>COUNTIFS(Reactions!$B:$B,"="&amp;$G21,Reactions!$D:$D,"="&amp;I$1)+COUNTIFS(Reactions!$D:$D,"="&amp;$G21,Reactions!$B:$B,"="&amp;I$1)</f>
        <v>1</v>
      </c>
      <c r="J21">
        <f>COUNTIFS(Reactions!$B:$B,"="&amp;$G21,Reactions!$D:$D,"="&amp;J$1)+COUNTIFS(Reactions!$D:$D,"="&amp;$G21,Reactions!$B:$B,"="&amp;J$1)</f>
        <v>0</v>
      </c>
    </row>
    <row r="22" spans="1:10" ht="17.25" hidden="1" x14ac:dyDescent="0.25">
      <c r="A22" s="24" t="s">
        <v>1039</v>
      </c>
      <c r="G22" s="1" t="s">
        <v>645</v>
      </c>
      <c r="H22">
        <f>COUNTIFS(Reactions!$B:$B,"="&amp;$G22,Reactions!$D:$D,"="&amp;H$1)+COUNTIFS(Reactions!$D:$D,"="&amp;$G22,Reactions!$B:$B,"="&amp;H$1)</f>
        <v>2</v>
      </c>
      <c r="I22">
        <f>COUNTIFS(Reactions!$B:$B,"="&amp;$G22,Reactions!$D:$D,"="&amp;I$1)+COUNTIFS(Reactions!$D:$D,"="&amp;$G22,Reactions!$B:$B,"="&amp;I$1)</f>
        <v>3</v>
      </c>
      <c r="J22">
        <f>COUNTIFS(Reactions!$B:$B,"="&amp;$G22,Reactions!$D:$D,"="&amp;J$1)+COUNTIFS(Reactions!$D:$D,"="&amp;$G22,Reactions!$B:$B,"="&amp;J$1)</f>
        <v>2</v>
      </c>
    </row>
    <row r="23" spans="1:10" ht="18" x14ac:dyDescent="0.25">
      <c r="G23" s="151" t="s">
        <v>3</v>
      </c>
      <c r="H23">
        <f>COUNTIFS(Reactions!$B:$B,"="&amp;$G23,Reactions!$D:$D,"="&amp;H$1)+COUNTIFS(Reactions!$D:$D,"="&amp;$G23,Reactions!$B:$B,"="&amp;H$1)</f>
        <v>0</v>
      </c>
      <c r="I23">
        <f>COUNTIFS(Reactions!$B:$B,"="&amp;$G23,Reactions!$D:$D,"="&amp;I$1)+COUNTIFS(Reactions!$D:$D,"="&amp;$G23,Reactions!$B:$B,"="&amp;I$1)</f>
        <v>0</v>
      </c>
      <c r="J23">
        <f>COUNTIFS(Reactions!$B:$B,"="&amp;$G23,Reactions!$D:$D,"="&amp;J$1)+COUNTIFS(Reactions!$D:$D,"="&amp;$G23,Reactions!$B:$B,"="&amp;J$1)</f>
        <v>0</v>
      </c>
    </row>
    <row r="24" spans="1:10" ht="18" hidden="1" x14ac:dyDescent="0.25">
      <c r="G24" s="1" t="s">
        <v>1482</v>
      </c>
      <c r="H24">
        <f>COUNTIFS(Reactions!$B:$B,"="&amp;$G24,Reactions!$D:$D,"="&amp;H$1)+COUNTIFS(Reactions!$D:$D,"="&amp;$G24,Reactions!$B:$B,"="&amp;H$1)</f>
        <v>1</v>
      </c>
      <c r="I24">
        <f>COUNTIFS(Reactions!$B:$B,"="&amp;$G24,Reactions!$D:$D,"="&amp;I$1)+COUNTIFS(Reactions!$D:$D,"="&amp;$G24,Reactions!$B:$B,"="&amp;I$1)</f>
        <v>3</v>
      </c>
      <c r="J24">
        <f>COUNTIFS(Reactions!$B:$B,"="&amp;$G24,Reactions!$D:$D,"="&amp;J$1)+COUNTIFS(Reactions!$D:$D,"="&amp;$G24,Reactions!$B:$B,"="&amp;J$1)</f>
        <v>1</v>
      </c>
    </row>
    <row r="25" spans="1:10" ht="18" hidden="1" x14ac:dyDescent="0.25">
      <c r="G25" s="1" t="s">
        <v>1338</v>
      </c>
      <c r="H25">
        <f>COUNTIFS(Reactions!$B:$B,"="&amp;$G25,Reactions!$D:$D,"="&amp;H$1)+COUNTIFS(Reactions!$D:$D,"="&amp;$G25,Reactions!$B:$B,"="&amp;H$1)</f>
        <v>2</v>
      </c>
      <c r="I25">
        <f>COUNTIFS(Reactions!$B:$B,"="&amp;$G25,Reactions!$D:$D,"="&amp;I$1)+COUNTIFS(Reactions!$D:$D,"="&amp;$G25,Reactions!$B:$B,"="&amp;I$1)</f>
        <v>1</v>
      </c>
      <c r="J25">
        <f>COUNTIFS(Reactions!$B:$B,"="&amp;$G25,Reactions!$D:$D,"="&amp;J$1)+COUNTIFS(Reactions!$D:$D,"="&amp;$G25,Reactions!$B:$B,"="&amp;J$1)</f>
        <v>0</v>
      </c>
    </row>
    <row r="26" spans="1:10" ht="18" hidden="1" x14ac:dyDescent="0.25">
      <c r="G26" s="1" t="s">
        <v>831</v>
      </c>
      <c r="H26">
        <f>COUNTIFS(Reactions!$B:$B,"="&amp;$G26,Reactions!$D:$D,"="&amp;H$1)+COUNTIFS(Reactions!$D:$D,"="&amp;$G26,Reactions!$B:$B,"="&amp;H$1)</f>
        <v>1</v>
      </c>
      <c r="I26">
        <f>COUNTIFS(Reactions!$B:$B,"="&amp;$G26,Reactions!$D:$D,"="&amp;I$1)+COUNTIFS(Reactions!$D:$D,"="&amp;$G26,Reactions!$B:$B,"="&amp;I$1)</f>
        <v>1</v>
      </c>
      <c r="J26">
        <f>COUNTIFS(Reactions!$B:$B,"="&amp;$G26,Reactions!$D:$D,"="&amp;J$1)+COUNTIFS(Reactions!$D:$D,"="&amp;$G26,Reactions!$B:$B,"="&amp;J$1)</f>
        <v>1</v>
      </c>
    </row>
    <row r="27" spans="1:10" ht="18" x14ac:dyDescent="0.25">
      <c r="G27" s="22" t="s">
        <v>738</v>
      </c>
      <c r="H27">
        <f>COUNTIFS(Reactions!$B:$B,"="&amp;$G27,Reactions!$D:$D,"="&amp;H$1)+COUNTIFS(Reactions!$D:$D,"="&amp;$G27,Reactions!$B:$B,"="&amp;H$1)</f>
        <v>0</v>
      </c>
      <c r="I27">
        <f>COUNTIFS(Reactions!$B:$B,"="&amp;$G27,Reactions!$D:$D,"="&amp;I$1)+COUNTIFS(Reactions!$D:$D,"="&amp;$G27,Reactions!$B:$B,"="&amp;I$1)</f>
        <v>0</v>
      </c>
      <c r="J27">
        <f>COUNTIFS(Reactions!$B:$B,"="&amp;$G27,Reactions!$D:$D,"="&amp;J$1)+COUNTIFS(Reactions!$D:$D,"="&amp;$G27,Reactions!$B:$B,"="&amp;J$1)</f>
        <v>0</v>
      </c>
    </row>
    <row r="28" spans="1:10" ht="18" x14ac:dyDescent="0.25">
      <c r="G28" s="1" t="s">
        <v>1324</v>
      </c>
      <c r="H28">
        <f>COUNTIFS(Reactions!$B:$B,"="&amp;$G28,Reactions!$D:$D,"="&amp;H$1)+COUNTIFS(Reactions!$D:$D,"="&amp;$G28,Reactions!$B:$B,"="&amp;H$1)</f>
        <v>0</v>
      </c>
      <c r="I28">
        <f>COUNTIFS(Reactions!$B:$B,"="&amp;$G28,Reactions!$D:$D,"="&amp;I$1)+COUNTIFS(Reactions!$D:$D,"="&amp;$G28,Reactions!$B:$B,"="&amp;I$1)</f>
        <v>0</v>
      </c>
      <c r="J28">
        <f>COUNTIFS(Reactions!$B:$B,"="&amp;$G28,Reactions!$D:$D,"="&amp;J$1)+COUNTIFS(Reactions!$D:$D,"="&amp;$G28,Reactions!$B:$B,"="&amp;J$1)</f>
        <v>0</v>
      </c>
    </row>
    <row r="29" spans="1:10" ht="18" hidden="1" x14ac:dyDescent="0.25">
      <c r="G29" s="1" t="s">
        <v>680</v>
      </c>
      <c r="H29">
        <f>COUNTIFS(Reactions!$B:$B,"="&amp;$G29,Reactions!$D:$D,"="&amp;H$1)+COUNTIFS(Reactions!$D:$D,"="&amp;$G29,Reactions!$B:$B,"="&amp;H$1)</f>
        <v>0</v>
      </c>
      <c r="I29">
        <f>COUNTIFS(Reactions!$B:$B,"="&amp;$G29,Reactions!$D:$D,"="&amp;I$1)+COUNTIFS(Reactions!$D:$D,"="&amp;$G29,Reactions!$B:$B,"="&amp;I$1)</f>
        <v>2</v>
      </c>
      <c r="J29">
        <f>COUNTIFS(Reactions!$B:$B,"="&amp;$G29,Reactions!$D:$D,"="&amp;J$1)+COUNTIFS(Reactions!$D:$D,"="&amp;$G29,Reactions!$B:$B,"="&amp;J$1)</f>
        <v>0</v>
      </c>
    </row>
    <row r="30" spans="1:10" ht="18" x14ac:dyDescent="0.25">
      <c r="G30" s="1" t="s">
        <v>845</v>
      </c>
      <c r="H30">
        <f>COUNTIFS(Reactions!$B:$B,"="&amp;$G30,Reactions!$D:$D,"="&amp;H$1)+COUNTIFS(Reactions!$D:$D,"="&amp;$G30,Reactions!$B:$B,"="&amp;H$1)</f>
        <v>0</v>
      </c>
      <c r="I30">
        <f>COUNTIFS(Reactions!$B:$B,"="&amp;$G30,Reactions!$D:$D,"="&amp;I$1)+COUNTIFS(Reactions!$D:$D,"="&amp;$G30,Reactions!$B:$B,"="&amp;I$1)</f>
        <v>0</v>
      </c>
      <c r="J30">
        <f>COUNTIFS(Reactions!$B:$B,"="&amp;$G30,Reactions!$D:$D,"="&amp;J$1)+COUNTIFS(Reactions!$D:$D,"="&amp;$G30,Reactions!$B:$B,"="&amp;J$1)</f>
        <v>0</v>
      </c>
    </row>
    <row r="31" spans="1:10" ht="18" x14ac:dyDescent="0.25">
      <c r="G31" s="1" t="s">
        <v>843</v>
      </c>
      <c r="H31">
        <f>COUNTIFS(Reactions!$B:$B,"="&amp;$G31,Reactions!$D:$D,"="&amp;H$1)+COUNTIFS(Reactions!$D:$D,"="&amp;$G31,Reactions!$B:$B,"="&amp;H$1)</f>
        <v>0</v>
      </c>
      <c r="I31">
        <f>COUNTIFS(Reactions!$B:$B,"="&amp;$G31,Reactions!$D:$D,"="&amp;I$1)+COUNTIFS(Reactions!$D:$D,"="&amp;$G31,Reactions!$B:$B,"="&amp;I$1)</f>
        <v>0</v>
      </c>
      <c r="J31">
        <f>COUNTIFS(Reactions!$B:$B,"="&amp;$G31,Reactions!$D:$D,"="&amp;J$1)+COUNTIFS(Reactions!$D:$D,"="&amp;$G31,Reactions!$B:$B,"="&amp;J$1)</f>
        <v>0</v>
      </c>
    </row>
    <row r="32" spans="1:10" ht="18" x14ac:dyDescent="0.25">
      <c r="G32" s="1" t="s">
        <v>674</v>
      </c>
      <c r="H32">
        <f>COUNTIFS(Reactions!$B:$B,"="&amp;$G32,Reactions!$D:$D,"="&amp;H$1)+COUNTIFS(Reactions!$D:$D,"="&amp;$G32,Reactions!$B:$B,"="&amp;H$1)</f>
        <v>0</v>
      </c>
      <c r="I32">
        <f>COUNTIFS(Reactions!$B:$B,"="&amp;$G32,Reactions!$D:$D,"="&amp;I$1)+COUNTIFS(Reactions!$D:$D,"="&amp;$G32,Reactions!$B:$B,"="&amp;I$1)</f>
        <v>0</v>
      </c>
      <c r="J32">
        <f>COUNTIFS(Reactions!$B:$B,"="&amp;$G32,Reactions!$D:$D,"="&amp;J$1)+COUNTIFS(Reactions!$D:$D,"="&amp;$G32,Reactions!$B:$B,"="&amp;J$1)</f>
        <v>0</v>
      </c>
    </row>
    <row r="33" spans="7:10" ht="18" hidden="1" x14ac:dyDescent="0.25">
      <c r="G33" s="1" t="s">
        <v>832</v>
      </c>
      <c r="H33">
        <f>COUNTIFS(Reactions!$B:$B,"="&amp;$G33,Reactions!$D:$D,"="&amp;H$1)+COUNTIFS(Reactions!$D:$D,"="&amp;$G33,Reactions!$B:$B,"="&amp;H$1)</f>
        <v>0</v>
      </c>
      <c r="I33">
        <f>COUNTIFS(Reactions!$B:$B,"="&amp;$G33,Reactions!$D:$D,"="&amp;I$1)+COUNTIFS(Reactions!$D:$D,"="&amp;$G33,Reactions!$B:$B,"="&amp;I$1)</f>
        <v>3</v>
      </c>
      <c r="J33">
        <f>COUNTIFS(Reactions!$B:$B,"="&amp;$G33,Reactions!$D:$D,"="&amp;J$1)+COUNTIFS(Reactions!$D:$D,"="&amp;$G33,Reactions!$B:$B,"="&amp;J$1)</f>
        <v>0</v>
      </c>
    </row>
    <row r="34" spans="7:10" ht="18" hidden="1" x14ac:dyDescent="0.25">
      <c r="G34" s="1" t="s">
        <v>833</v>
      </c>
      <c r="H34">
        <f>COUNTIFS(Reactions!$B:$B,"="&amp;$G34,Reactions!$D:$D,"="&amp;H$1)+COUNTIFS(Reactions!$D:$D,"="&amp;$G34,Reactions!$B:$B,"="&amp;H$1)</f>
        <v>1</v>
      </c>
      <c r="I34">
        <f>COUNTIFS(Reactions!$B:$B,"="&amp;$G34,Reactions!$D:$D,"="&amp;I$1)+COUNTIFS(Reactions!$D:$D,"="&amp;$G34,Reactions!$B:$B,"="&amp;I$1)</f>
        <v>1</v>
      </c>
      <c r="J34">
        <f>COUNTIFS(Reactions!$B:$B,"="&amp;$G34,Reactions!$D:$D,"="&amp;J$1)+COUNTIFS(Reactions!$D:$D,"="&amp;$G34,Reactions!$B:$B,"="&amp;J$1)</f>
        <v>1</v>
      </c>
    </row>
    <row r="35" spans="7:10" x14ac:dyDescent="0.25">
      <c r="G35" s="119" t="s">
        <v>1340</v>
      </c>
      <c r="H35">
        <f>COUNTIFS(Reactions!$B:$B,"="&amp;$G35,Reactions!$D:$D,"="&amp;H$1)+COUNTIFS(Reactions!$D:$D,"="&amp;$G35,Reactions!$B:$B,"="&amp;H$1)</f>
        <v>0</v>
      </c>
      <c r="I35">
        <f>COUNTIFS(Reactions!$B:$B,"="&amp;$G35,Reactions!$D:$D,"="&amp;I$1)+COUNTIFS(Reactions!$D:$D,"="&amp;$G35,Reactions!$B:$B,"="&amp;I$1)</f>
        <v>0</v>
      </c>
      <c r="J35">
        <f>COUNTIFS(Reactions!$B:$B,"="&amp;$G35,Reactions!$D:$D,"="&amp;J$1)+COUNTIFS(Reactions!$D:$D,"="&amp;$G35,Reactions!$B:$B,"="&amp;J$1)</f>
        <v>0</v>
      </c>
    </row>
    <row r="36" spans="7:10" ht="18" x14ac:dyDescent="0.25">
      <c r="G36" s="22" t="s">
        <v>1638</v>
      </c>
      <c r="H36">
        <f>COUNTIFS(Reactions!$B:$B,"="&amp;$G36,Reactions!$D:$D,"="&amp;H$1)+COUNTIFS(Reactions!$D:$D,"="&amp;$G36,Reactions!$B:$B,"="&amp;H$1)</f>
        <v>0</v>
      </c>
      <c r="I36">
        <f>COUNTIFS(Reactions!$B:$B,"="&amp;$G36,Reactions!$D:$D,"="&amp;I$1)+COUNTIFS(Reactions!$D:$D,"="&amp;$G36,Reactions!$B:$B,"="&amp;I$1)</f>
        <v>0</v>
      </c>
      <c r="J36">
        <f>COUNTIFS(Reactions!$B:$B,"="&amp;$G36,Reactions!$D:$D,"="&amp;J$1)+COUNTIFS(Reactions!$D:$D,"="&amp;$G36,Reactions!$B:$B,"="&amp;J$1)</f>
        <v>0</v>
      </c>
    </row>
    <row r="37" spans="7:10" ht="18" x14ac:dyDescent="0.25">
      <c r="G37" s="151" t="s">
        <v>1639</v>
      </c>
      <c r="H37">
        <f>COUNTIFS(Reactions!$B:$B,"="&amp;$G37,Reactions!$D:$D,"="&amp;H$1)+COUNTIFS(Reactions!$D:$D,"="&amp;$G37,Reactions!$B:$B,"="&amp;H$1)</f>
        <v>0</v>
      </c>
      <c r="I37">
        <f>COUNTIFS(Reactions!$B:$B,"="&amp;$G37,Reactions!$D:$D,"="&amp;I$1)+COUNTIFS(Reactions!$D:$D,"="&amp;$G37,Reactions!$B:$B,"="&amp;I$1)</f>
        <v>0</v>
      </c>
      <c r="J37">
        <f>COUNTIFS(Reactions!$B:$B,"="&amp;$G37,Reactions!$D:$D,"="&amp;J$1)+COUNTIFS(Reactions!$D:$D,"="&amp;$G37,Reactions!$B:$B,"="&amp;J$1)</f>
        <v>0</v>
      </c>
    </row>
    <row r="38" spans="7:10" x14ac:dyDescent="0.25">
      <c r="G38" s="1" t="s">
        <v>688</v>
      </c>
      <c r="H38">
        <f>COUNTIFS(Reactions!$B:$B,"="&amp;$G38,Reactions!$D:$D,"="&amp;H$1)+COUNTIFS(Reactions!$D:$D,"="&amp;$G38,Reactions!$B:$B,"="&amp;H$1)</f>
        <v>0</v>
      </c>
      <c r="I38">
        <f>COUNTIFS(Reactions!$B:$B,"="&amp;$G38,Reactions!$D:$D,"="&amp;I$1)+COUNTIFS(Reactions!$D:$D,"="&amp;$G38,Reactions!$B:$B,"="&amp;I$1)</f>
        <v>0</v>
      </c>
      <c r="J38">
        <f>COUNTIFS(Reactions!$B:$B,"="&amp;$G38,Reactions!$D:$D,"="&amp;J$1)+COUNTIFS(Reactions!$D:$D,"="&amp;$G38,Reactions!$B:$B,"="&amp;J$1)</f>
        <v>0</v>
      </c>
    </row>
    <row r="39" spans="7:10" hidden="1" x14ac:dyDescent="0.25">
      <c r="G39" s="1" t="s">
        <v>1320</v>
      </c>
      <c r="H39">
        <f>COUNTIFS(Reactions!$B:$B,"="&amp;$G39,Reactions!$D:$D,"="&amp;H$1)+COUNTIFS(Reactions!$D:$D,"="&amp;$G39,Reactions!$B:$B,"="&amp;H$1)</f>
        <v>0</v>
      </c>
      <c r="I39">
        <f>COUNTIFS(Reactions!$B:$B,"="&amp;$G39,Reactions!$D:$D,"="&amp;I$1)+COUNTIFS(Reactions!$D:$D,"="&amp;$G39,Reactions!$B:$B,"="&amp;I$1)</f>
        <v>1</v>
      </c>
      <c r="J39">
        <f>COUNTIFS(Reactions!$B:$B,"="&amp;$G39,Reactions!$D:$D,"="&amp;J$1)+COUNTIFS(Reactions!$D:$D,"="&amp;$G39,Reactions!$B:$B,"="&amp;J$1)</f>
        <v>0</v>
      </c>
    </row>
    <row r="40" spans="7:10" ht="17.25" x14ac:dyDescent="0.25">
      <c r="G40" s="1" t="s">
        <v>681</v>
      </c>
      <c r="H40">
        <f>COUNTIFS(Reactions!$B:$B,"="&amp;$G40,Reactions!$D:$D,"="&amp;H$1)+COUNTIFS(Reactions!$D:$D,"="&amp;$G40,Reactions!$B:$B,"="&amp;H$1)</f>
        <v>0</v>
      </c>
      <c r="I40">
        <f>COUNTIFS(Reactions!$B:$B,"="&amp;$G40,Reactions!$D:$D,"="&amp;I$1)+COUNTIFS(Reactions!$D:$D,"="&amp;$G40,Reactions!$B:$B,"="&amp;I$1)</f>
        <v>0</v>
      </c>
      <c r="J40">
        <f>COUNTIFS(Reactions!$B:$B,"="&amp;$G40,Reactions!$D:$D,"="&amp;J$1)+COUNTIFS(Reactions!$D:$D,"="&amp;$G40,Reactions!$B:$B,"="&amp;J$1)</f>
        <v>0</v>
      </c>
    </row>
    <row r="41" spans="7:10" ht="18" x14ac:dyDescent="0.25">
      <c r="G41" s="1" t="s">
        <v>739</v>
      </c>
      <c r="H41">
        <f>COUNTIFS(Reactions!$B:$B,"="&amp;$G41,Reactions!$D:$D,"="&amp;H$1)+COUNTIFS(Reactions!$D:$D,"="&amp;$G41,Reactions!$B:$B,"="&amp;H$1)</f>
        <v>0</v>
      </c>
      <c r="I41">
        <f>COUNTIFS(Reactions!$B:$B,"="&amp;$G41,Reactions!$D:$D,"="&amp;I$1)+COUNTIFS(Reactions!$D:$D,"="&amp;$G41,Reactions!$B:$B,"="&amp;I$1)</f>
        <v>0</v>
      </c>
      <c r="J41">
        <f>COUNTIFS(Reactions!$B:$B,"="&amp;$G41,Reactions!$D:$D,"="&amp;J$1)+COUNTIFS(Reactions!$D:$D,"="&amp;$G41,Reactions!$B:$B,"="&amp;J$1)</f>
        <v>0</v>
      </c>
    </row>
    <row r="42" spans="7:10" ht="18" x14ac:dyDescent="0.25">
      <c r="G42" s="1" t="s">
        <v>1326</v>
      </c>
      <c r="H42">
        <f>COUNTIFS(Reactions!$B:$B,"="&amp;$G42,Reactions!$D:$D,"="&amp;H$1)+COUNTIFS(Reactions!$D:$D,"="&amp;$G42,Reactions!$B:$B,"="&amp;H$1)</f>
        <v>0</v>
      </c>
      <c r="I42">
        <f>COUNTIFS(Reactions!$B:$B,"="&amp;$G42,Reactions!$D:$D,"="&amp;I$1)+COUNTIFS(Reactions!$D:$D,"="&amp;$G42,Reactions!$B:$B,"="&amp;I$1)</f>
        <v>0</v>
      </c>
      <c r="J42">
        <f>COUNTIFS(Reactions!$B:$B,"="&amp;$G42,Reactions!$D:$D,"="&amp;J$1)+COUNTIFS(Reactions!$D:$D,"="&amp;$G42,Reactions!$B:$B,"="&amp;J$1)</f>
        <v>0</v>
      </c>
    </row>
    <row r="43" spans="7:10" ht="18" x14ac:dyDescent="0.25">
      <c r="G43" s="1" t="s">
        <v>834</v>
      </c>
      <c r="H43">
        <f>COUNTIFS(Reactions!$B:$B,"="&amp;$G43,Reactions!$D:$D,"="&amp;H$1)+COUNTIFS(Reactions!$D:$D,"="&amp;$G43,Reactions!$B:$B,"="&amp;H$1)</f>
        <v>0</v>
      </c>
      <c r="I43">
        <f>COUNTIFS(Reactions!$B:$B,"="&amp;$G43,Reactions!$D:$D,"="&amp;I$1)+COUNTIFS(Reactions!$D:$D,"="&amp;$G43,Reactions!$B:$B,"="&amp;I$1)</f>
        <v>0</v>
      </c>
      <c r="J43">
        <f>COUNTIFS(Reactions!$B:$B,"="&amp;$G43,Reactions!$D:$D,"="&amp;J$1)+COUNTIFS(Reactions!$D:$D,"="&amp;$G43,Reactions!$B:$B,"="&amp;J$1)</f>
        <v>0</v>
      </c>
    </row>
    <row r="44" spans="7:10" ht="18" x14ac:dyDescent="0.25">
      <c r="G44" s="1" t="s">
        <v>844</v>
      </c>
      <c r="H44">
        <f>COUNTIFS(Reactions!$B:$B,"="&amp;$G44,Reactions!$D:$D,"="&amp;H$1)+COUNTIFS(Reactions!$D:$D,"="&amp;$G44,Reactions!$B:$B,"="&amp;H$1)</f>
        <v>0</v>
      </c>
      <c r="I44">
        <f>COUNTIFS(Reactions!$B:$B,"="&amp;$G44,Reactions!$D:$D,"="&amp;I$1)+COUNTIFS(Reactions!$D:$D,"="&amp;$G44,Reactions!$B:$B,"="&amp;I$1)</f>
        <v>0</v>
      </c>
      <c r="J44">
        <f>COUNTIFS(Reactions!$B:$B,"="&amp;$G44,Reactions!$D:$D,"="&amp;J$1)+COUNTIFS(Reactions!$D:$D,"="&amp;$G44,Reactions!$B:$B,"="&amp;J$1)</f>
        <v>0</v>
      </c>
    </row>
    <row r="45" spans="7:10" ht="18" x14ac:dyDescent="0.25">
      <c r="G45" s="1" t="s">
        <v>1327</v>
      </c>
      <c r="H45">
        <f>COUNTIFS(Reactions!$B:$B,"="&amp;$G45,Reactions!$D:$D,"="&amp;H$1)+COUNTIFS(Reactions!$D:$D,"="&amp;$G45,Reactions!$B:$B,"="&amp;H$1)</f>
        <v>0</v>
      </c>
      <c r="I45">
        <f>COUNTIFS(Reactions!$B:$B,"="&amp;$G45,Reactions!$D:$D,"="&amp;I$1)+COUNTIFS(Reactions!$D:$D,"="&amp;$G45,Reactions!$B:$B,"="&amp;I$1)</f>
        <v>0</v>
      </c>
      <c r="J45">
        <f>COUNTIFS(Reactions!$B:$B,"="&amp;$G45,Reactions!$D:$D,"="&amp;J$1)+COUNTIFS(Reactions!$D:$D,"="&amp;$G45,Reactions!$B:$B,"="&amp;J$1)</f>
        <v>0</v>
      </c>
    </row>
    <row r="46" spans="7:10" hidden="1" x14ac:dyDescent="0.25">
      <c r="G46" s="1" t="s">
        <v>639</v>
      </c>
      <c r="H46">
        <f>COUNTIFS(Reactions!$B:$B,"="&amp;$G46,Reactions!$D:$D,"="&amp;H$1)+COUNTIFS(Reactions!$D:$D,"="&amp;$G46,Reactions!$B:$B,"="&amp;H$1)</f>
        <v>0</v>
      </c>
      <c r="I46">
        <f>COUNTIFS(Reactions!$B:$B,"="&amp;$G46,Reactions!$D:$D,"="&amp;I$1)+COUNTIFS(Reactions!$D:$D,"="&amp;$G46,Reactions!$B:$B,"="&amp;I$1)</f>
        <v>1</v>
      </c>
      <c r="J46">
        <f>COUNTIFS(Reactions!$B:$B,"="&amp;$G46,Reactions!$D:$D,"="&amp;J$1)+COUNTIFS(Reactions!$D:$D,"="&amp;$G46,Reactions!$B:$B,"="&amp;J$1)</f>
        <v>0</v>
      </c>
    </row>
    <row r="47" spans="7:10" hidden="1" x14ac:dyDescent="0.25">
      <c r="G47" s="1" t="s">
        <v>1319</v>
      </c>
      <c r="H47">
        <f>COUNTIFS(Reactions!$B:$B,"="&amp;$G47,Reactions!$D:$D,"="&amp;H$1)+COUNTIFS(Reactions!$D:$D,"="&amp;$G47,Reactions!$B:$B,"="&amp;H$1)</f>
        <v>1</v>
      </c>
      <c r="I47">
        <f>COUNTIFS(Reactions!$B:$B,"="&amp;$G47,Reactions!$D:$D,"="&amp;I$1)+COUNTIFS(Reactions!$D:$D,"="&amp;$G47,Reactions!$B:$B,"="&amp;I$1)</f>
        <v>3</v>
      </c>
      <c r="J47">
        <f>COUNTIFS(Reactions!$B:$B,"="&amp;$G47,Reactions!$D:$D,"="&amp;J$1)+COUNTIFS(Reactions!$D:$D,"="&amp;$G47,Reactions!$B:$B,"="&amp;J$1)</f>
        <v>1</v>
      </c>
    </row>
    <row r="48" spans="7:10" ht="17.25" hidden="1" x14ac:dyDescent="0.25">
      <c r="G48" s="1" t="s">
        <v>646</v>
      </c>
      <c r="H48">
        <f>COUNTIFS(Reactions!$B:$B,"="&amp;$G48,Reactions!$D:$D,"="&amp;H$1)+COUNTIFS(Reactions!$D:$D,"="&amp;$G48,Reactions!$B:$B,"="&amp;H$1)</f>
        <v>2</v>
      </c>
      <c r="I48">
        <f>COUNTIFS(Reactions!$B:$B,"="&amp;$G48,Reactions!$D:$D,"="&amp;I$1)+COUNTIFS(Reactions!$D:$D,"="&amp;$G48,Reactions!$B:$B,"="&amp;I$1)</f>
        <v>3</v>
      </c>
      <c r="J48">
        <f>COUNTIFS(Reactions!$B:$B,"="&amp;$G48,Reactions!$D:$D,"="&amp;J$1)+COUNTIFS(Reactions!$D:$D,"="&amp;$G48,Reactions!$B:$B,"="&amp;J$1)</f>
        <v>1</v>
      </c>
    </row>
    <row r="49" spans="7:10" ht="17.25" hidden="1" x14ac:dyDescent="0.25">
      <c r="G49" s="1" t="s">
        <v>650</v>
      </c>
      <c r="H49">
        <f>COUNTIFS(Reactions!$B:$B,"="&amp;$G49,Reactions!$D:$D,"="&amp;H$1)+COUNTIFS(Reactions!$D:$D,"="&amp;$G49,Reactions!$B:$B,"="&amp;H$1)</f>
        <v>4</v>
      </c>
      <c r="I49">
        <f>COUNTIFS(Reactions!$B:$B,"="&amp;$G49,Reactions!$D:$D,"="&amp;I$1)+COUNTIFS(Reactions!$D:$D,"="&amp;$G49,Reactions!$B:$B,"="&amp;I$1)</f>
        <v>1</v>
      </c>
      <c r="J49">
        <f>COUNTIFS(Reactions!$B:$B,"="&amp;$G49,Reactions!$D:$D,"="&amp;J$1)+COUNTIFS(Reactions!$D:$D,"="&amp;$G49,Reactions!$B:$B,"="&amp;J$1)</f>
        <v>1</v>
      </c>
    </row>
    <row r="50" spans="7:10" ht="18" x14ac:dyDescent="0.25">
      <c r="G50" s="22" t="s">
        <v>637</v>
      </c>
      <c r="H50">
        <f>COUNTIFS(Reactions!$B:$B,"="&amp;$G50,Reactions!$D:$D,"="&amp;H$1)+COUNTIFS(Reactions!$D:$D,"="&amp;$G50,Reactions!$B:$B,"="&amp;H$1)</f>
        <v>0</v>
      </c>
      <c r="I50">
        <f>COUNTIFS(Reactions!$B:$B,"="&amp;$G50,Reactions!$D:$D,"="&amp;I$1)+COUNTIFS(Reactions!$D:$D,"="&amp;$G50,Reactions!$B:$B,"="&amp;I$1)</f>
        <v>0</v>
      </c>
      <c r="J50">
        <f>COUNTIFS(Reactions!$B:$B,"="&amp;$G50,Reactions!$D:$D,"="&amp;J$1)+COUNTIFS(Reactions!$D:$D,"="&amp;$G50,Reactions!$B:$B,"="&amp;J$1)</f>
        <v>0</v>
      </c>
    </row>
    <row r="51" spans="7:10" ht="18" hidden="1" x14ac:dyDescent="0.25">
      <c r="G51" s="1" t="s">
        <v>1329</v>
      </c>
      <c r="H51">
        <f>COUNTIFS(Reactions!$B:$B,"="&amp;$G51,Reactions!$D:$D,"="&amp;H$1)+COUNTIFS(Reactions!$D:$D,"="&amp;$G51,Reactions!$B:$B,"="&amp;H$1)</f>
        <v>1</v>
      </c>
      <c r="I51">
        <f>COUNTIFS(Reactions!$B:$B,"="&amp;$G51,Reactions!$D:$D,"="&amp;I$1)+COUNTIFS(Reactions!$D:$D,"="&amp;$G51,Reactions!$B:$B,"="&amp;I$1)</f>
        <v>3</v>
      </c>
      <c r="J51">
        <f>COUNTIFS(Reactions!$B:$B,"="&amp;$G51,Reactions!$D:$D,"="&amp;J$1)+COUNTIFS(Reactions!$D:$D,"="&amp;$G51,Reactions!$B:$B,"="&amp;J$1)</f>
        <v>0</v>
      </c>
    </row>
    <row r="52" spans="7:10" ht="18" x14ac:dyDescent="0.25">
      <c r="G52" s="1" t="s">
        <v>1054</v>
      </c>
      <c r="H52">
        <f>COUNTIFS(Reactions!$B:$B,"="&amp;$G52,Reactions!$D:$D,"="&amp;H$1)+COUNTIFS(Reactions!$D:$D,"="&amp;$G52,Reactions!$B:$B,"="&amp;H$1)</f>
        <v>0</v>
      </c>
      <c r="I52">
        <f>COUNTIFS(Reactions!$B:$B,"="&amp;$G52,Reactions!$D:$D,"="&amp;I$1)+COUNTIFS(Reactions!$D:$D,"="&amp;$G52,Reactions!$B:$B,"="&amp;I$1)</f>
        <v>0</v>
      </c>
      <c r="J52">
        <f>COUNTIFS(Reactions!$B:$B,"="&amp;$G52,Reactions!$D:$D,"="&amp;J$1)+COUNTIFS(Reactions!$D:$D,"="&amp;$G52,Reactions!$B:$B,"="&amp;J$1)</f>
        <v>0</v>
      </c>
    </row>
    <row r="53" spans="7:10" ht="18" hidden="1" x14ac:dyDescent="0.25">
      <c r="G53" s="1" t="s">
        <v>1484</v>
      </c>
      <c r="H53">
        <f>COUNTIFS(Reactions!$B:$B,"="&amp;$G53,Reactions!$D:$D,"="&amp;H$1)+COUNTIFS(Reactions!$D:$D,"="&amp;$G53,Reactions!$B:$B,"="&amp;H$1)</f>
        <v>1</v>
      </c>
      <c r="I53">
        <f>COUNTIFS(Reactions!$B:$B,"="&amp;$G53,Reactions!$D:$D,"="&amp;I$1)+COUNTIFS(Reactions!$D:$D,"="&amp;$G53,Reactions!$B:$B,"="&amp;I$1)</f>
        <v>1</v>
      </c>
      <c r="J53">
        <f>COUNTIFS(Reactions!$B:$B,"="&amp;$G53,Reactions!$D:$D,"="&amp;J$1)+COUNTIFS(Reactions!$D:$D,"="&amp;$G53,Reactions!$B:$B,"="&amp;J$1)</f>
        <v>0</v>
      </c>
    </row>
    <row r="54" spans="7:10" ht="18" hidden="1" x14ac:dyDescent="0.25">
      <c r="G54" s="1" t="s">
        <v>1485</v>
      </c>
      <c r="H54">
        <f>COUNTIFS(Reactions!$B:$B,"="&amp;$G54,Reactions!$D:$D,"="&amp;H$1)+COUNTIFS(Reactions!$D:$D,"="&amp;$G54,Reactions!$B:$B,"="&amp;H$1)</f>
        <v>1</v>
      </c>
      <c r="I54">
        <f>COUNTIFS(Reactions!$B:$B,"="&amp;$G54,Reactions!$D:$D,"="&amp;I$1)+COUNTIFS(Reactions!$D:$D,"="&amp;$G54,Reactions!$B:$B,"="&amp;I$1)</f>
        <v>1</v>
      </c>
      <c r="J54">
        <f>COUNTIFS(Reactions!$B:$B,"="&amp;$G54,Reactions!$D:$D,"="&amp;J$1)+COUNTIFS(Reactions!$D:$D,"="&amp;$G54,Reactions!$B:$B,"="&amp;J$1)</f>
        <v>0</v>
      </c>
    </row>
    <row r="55" spans="7:10" ht="18" hidden="1" x14ac:dyDescent="0.25">
      <c r="G55" s="1" t="s">
        <v>822</v>
      </c>
      <c r="H55">
        <f>COUNTIFS(Reactions!$B:$B,"="&amp;$G55,Reactions!$D:$D,"="&amp;H$1)+COUNTIFS(Reactions!$D:$D,"="&amp;$G55,Reactions!$B:$B,"="&amp;H$1)</f>
        <v>1</v>
      </c>
      <c r="I55">
        <f>COUNTIFS(Reactions!$B:$B,"="&amp;$G55,Reactions!$D:$D,"="&amp;I$1)+COUNTIFS(Reactions!$D:$D,"="&amp;$G55,Reactions!$B:$B,"="&amp;I$1)</f>
        <v>1</v>
      </c>
      <c r="J55">
        <f>COUNTIFS(Reactions!$B:$B,"="&amp;$G55,Reactions!$D:$D,"="&amp;J$1)+COUNTIFS(Reactions!$D:$D,"="&amp;$G55,Reactions!$B:$B,"="&amp;J$1)</f>
        <v>0</v>
      </c>
    </row>
    <row r="56" spans="7:10" ht="18" x14ac:dyDescent="0.25">
      <c r="G56" s="1" t="s">
        <v>638</v>
      </c>
      <c r="H56">
        <f>COUNTIFS(Reactions!$B:$B,"="&amp;$G56,Reactions!$D:$D,"="&amp;H$1)+COUNTIFS(Reactions!$D:$D,"="&amp;$G56,Reactions!$B:$B,"="&amp;H$1)</f>
        <v>0</v>
      </c>
      <c r="I56">
        <f>COUNTIFS(Reactions!$B:$B,"="&amp;$G56,Reactions!$D:$D,"="&amp;I$1)+COUNTIFS(Reactions!$D:$D,"="&amp;$G56,Reactions!$B:$B,"="&amp;I$1)</f>
        <v>0</v>
      </c>
      <c r="J56">
        <f>COUNTIFS(Reactions!$B:$B,"="&amp;$G56,Reactions!$D:$D,"="&amp;J$1)+COUNTIFS(Reactions!$D:$D,"="&amp;$G56,Reactions!$B:$B,"="&amp;J$1)</f>
        <v>0</v>
      </c>
    </row>
    <row r="57" spans="7:10" ht="18" hidden="1" x14ac:dyDescent="0.25">
      <c r="G57" s="1" t="s">
        <v>1330</v>
      </c>
      <c r="H57">
        <f>COUNTIFS(Reactions!$B:$B,"="&amp;$G57,Reactions!$D:$D,"="&amp;H$1)+COUNTIFS(Reactions!$D:$D,"="&amp;$G57,Reactions!$B:$B,"="&amp;H$1)</f>
        <v>4</v>
      </c>
      <c r="I57">
        <f>COUNTIFS(Reactions!$B:$B,"="&amp;$G57,Reactions!$D:$D,"="&amp;I$1)+COUNTIFS(Reactions!$D:$D,"="&amp;$G57,Reactions!$B:$B,"="&amp;I$1)</f>
        <v>1</v>
      </c>
      <c r="J57">
        <f>COUNTIFS(Reactions!$B:$B,"="&amp;$G57,Reactions!$D:$D,"="&amp;J$1)+COUNTIFS(Reactions!$D:$D,"="&amp;$G57,Reactions!$B:$B,"="&amp;J$1)</f>
        <v>0</v>
      </c>
    </row>
    <row r="58" spans="7:10" ht="18" hidden="1" x14ac:dyDescent="0.25">
      <c r="G58" s="1" t="s">
        <v>1331</v>
      </c>
      <c r="H58">
        <f>COUNTIFS(Reactions!$B:$B,"="&amp;$G58,Reactions!$D:$D,"="&amp;H$1)+COUNTIFS(Reactions!$D:$D,"="&amp;$G58,Reactions!$B:$B,"="&amp;H$1)</f>
        <v>1</v>
      </c>
      <c r="I58">
        <f>COUNTIFS(Reactions!$B:$B,"="&amp;$G58,Reactions!$D:$D,"="&amp;I$1)+COUNTIFS(Reactions!$D:$D,"="&amp;$G58,Reactions!$B:$B,"="&amp;I$1)</f>
        <v>1</v>
      </c>
      <c r="J58">
        <f>COUNTIFS(Reactions!$B:$B,"="&amp;$G58,Reactions!$D:$D,"="&amp;J$1)+COUNTIFS(Reactions!$D:$D,"="&amp;$G58,Reactions!$B:$B,"="&amp;J$1)</f>
        <v>0</v>
      </c>
    </row>
    <row r="59" spans="7:10" ht="18" hidden="1" x14ac:dyDescent="0.25">
      <c r="G59" s="1" t="s">
        <v>825</v>
      </c>
      <c r="H59">
        <f>COUNTIFS(Reactions!$B:$B,"="&amp;$G59,Reactions!$D:$D,"="&amp;H$1)+COUNTIFS(Reactions!$D:$D,"="&amp;$G59,Reactions!$B:$B,"="&amp;H$1)</f>
        <v>0</v>
      </c>
      <c r="I59">
        <f>COUNTIFS(Reactions!$B:$B,"="&amp;$G59,Reactions!$D:$D,"="&amp;I$1)+COUNTIFS(Reactions!$D:$D,"="&amp;$G59,Reactions!$B:$B,"="&amp;I$1)</f>
        <v>1</v>
      </c>
      <c r="J59">
        <f>COUNTIFS(Reactions!$B:$B,"="&amp;$G59,Reactions!$D:$D,"="&amp;J$1)+COUNTIFS(Reactions!$D:$D,"="&amp;$G59,Reactions!$B:$B,"="&amp;J$1)</f>
        <v>0</v>
      </c>
    </row>
    <row r="60" spans="7:10" x14ac:dyDescent="0.25">
      <c r="G60" s="1" t="s">
        <v>654</v>
      </c>
      <c r="H60">
        <f>COUNTIFS(Reactions!$B:$B,"="&amp;$G60,Reactions!$D:$D,"="&amp;H$1)+COUNTIFS(Reactions!$D:$D,"="&amp;$G60,Reactions!$B:$B,"="&amp;H$1)</f>
        <v>0</v>
      </c>
      <c r="I60">
        <f>COUNTIFS(Reactions!$B:$B,"="&amp;$G60,Reactions!$D:$D,"="&amp;I$1)+COUNTIFS(Reactions!$D:$D,"="&amp;$G60,Reactions!$B:$B,"="&amp;I$1)</f>
        <v>0</v>
      </c>
      <c r="J60">
        <f>COUNTIFS(Reactions!$B:$B,"="&amp;$G60,Reactions!$D:$D,"="&amp;J$1)+COUNTIFS(Reactions!$D:$D,"="&amp;$G60,Reactions!$B:$B,"="&amp;J$1)</f>
        <v>0</v>
      </c>
    </row>
    <row r="61" spans="7:10" x14ac:dyDescent="0.25">
      <c r="G61" s="1" t="s">
        <v>1321</v>
      </c>
      <c r="H61">
        <f>COUNTIFS(Reactions!$B:$B,"="&amp;$G61,Reactions!$D:$D,"="&amp;H$1)+COUNTIFS(Reactions!$D:$D,"="&amp;$G61,Reactions!$B:$B,"="&amp;H$1)</f>
        <v>0</v>
      </c>
      <c r="I61">
        <f>COUNTIFS(Reactions!$B:$B,"="&amp;$G61,Reactions!$D:$D,"="&amp;I$1)+COUNTIFS(Reactions!$D:$D,"="&amp;$G61,Reactions!$B:$B,"="&amp;I$1)</f>
        <v>0</v>
      </c>
      <c r="J61">
        <f>COUNTIFS(Reactions!$B:$B,"="&amp;$G61,Reactions!$D:$D,"="&amp;J$1)+COUNTIFS(Reactions!$D:$D,"="&amp;$G61,Reactions!$B:$B,"="&amp;J$1)</f>
        <v>0</v>
      </c>
    </row>
    <row r="62" spans="7:10" ht="17.25" hidden="1" x14ac:dyDescent="0.25">
      <c r="G62" s="1" t="s">
        <v>652</v>
      </c>
      <c r="H62">
        <f>COUNTIFS(Reactions!$B:$B,"="&amp;$G62,Reactions!$D:$D,"="&amp;H$1)+COUNTIFS(Reactions!$D:$D,"="&amp;$G62,Reactions!$B:$B,"="&amp;H$1)</f>
        <v>0</v>
      </c>
      <c r="I62">
        <f>COUNTIFS(Reactions!$B:$B,"="&amp;$G62,Reactions!$D:$D,"="&amp;I$1)+COUNTIFS(Reactions!$D:$D,"="&amp;$G62,Reactions!$B:$B,"="&amp;I$1)</f>
        <v>1</v>
      </c>
      <c r="J62">
        <f>COUNTIFS(Reactions!$B:$B,"="&amp;$G62,Reactions!$D:$D,"="&amp;J$1)+COUNTIFS(Reactions!$D:$D,"="&amp;$G62,Reactions!$B:$B,"="&amp;J$1)</f>
        <v>2</v>
      </c>
    </row>
    <row r="63" spans="7:10" x14ac:dyDescent="0.25">
      <c r="G63" s="1"/>
      <c r="H63">
        <f>COUNTIFS(Reactions!$B:$B,"="&amp;$G63,Reactions!$D:$D,"="&amp;H$1)+COUNTIFS(Reactions!$D:$D,"="&amp;$G63,Reactions!$B:$B,"="&amp;H$1)</f>
        <v>0</v>
      </c>
      <c r="I63">
        <f>COUNTIFS(Reactions!$B:$B,"="&amp;$G63,Reactions!$D:$D,"="&amp;I$1)+COUNTIFS(Reactions!$D:$D,"="&amp;$G63,Reactions!$B:$B,"="&amp;I$1)</f>
        <v>0</v>
      </c>
      <c r="J63">
        <f>COUNTIFS(Reactions!$B:$B,"="&amp;$G63,Reactions!$D:$D,"="&amp;J$1)+COUNTIFS(Reactions!$D:$D,"="&amp;$G63,Reactions!$B:$B,"="&amp;J$1)</f>
        <v>0</v>
      </c>
    </row>
  </sheetData>
  <autoFilter ref="G1:J63" xr:uid="{3CC6E343-4207-436D-B638-28B6DCB4DA20}">
    <filterColumn colId="2">
      <filters>
        <filter val="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tabColor theme="6"/>
  </sheetPr>
  <dimension ref="A1:D748"/>
  <sheetViews>
    <sheetView showGridLines="0" zoomScale="85" zoomScaleNormal="85" workbookViewId="0">
      <selection activeCell="J55" sqref="J55"/>
    </sheetView>
  </sheetViews>
  <sheetFormatPr defaultRowHeight="15" x14ac:dyDescent="0.25"/>
  <cols>
    <col min="2" max="2" width="15.125" customWidth="1"/>
    <col min="3" max="3" width="12.375" bestFit="1" customWidth="1"/>
  </cols>
  <sheetData>
    <row r="1" spans="1:4" s="13" customFormat="1" ht="17.25" customHeight="1" x14ac:dyDescent="0.25">
      <c r="A1" s="34" t="s">
        <v>1464</v>
      </c>
      <c r="B1" s="34" t="s">
        <v>1471</v>
      </c>
      <c r="C1" s="34" t="s">
        <v>1467</v>
      </c>
      <c r="D1" s="34"/>
    </row>
    <row r="2" spans="1:4" s="13" customFormat="1" ht="17.25" customHeight="1" x14ac:dyDescent="0.25">
      <c r="A2" s="13">
        <v>1</v>
      </c>
      <c r="B2" s="13" t="s">
        <v>1428</v>
      </c>
      <c r="C2" s="13" t="s">
        <v>1466</v>
      </c>
    </row>
    <row r="3" spans="1:4" s="13" customFormat="1" ht="17.25" customHeight="1" x14ac:dyDescent="0.25">
      <c r="A3" s="13">
        <v>3</v>
      </c>
      <c r="B3" s="13" t="s">
        <v>1429</v>
      </c>
      <c r="C3" s="13" t="s">
        <v>1473</v>
      </c>
    </row>
    <row r="4" spans="1:4" s="13" customFormat="1" ht="17.25" customHeight="1" x14ac:dyDescent="0.25">
      <c r="A4" s="13">
        <v>4</v>
      </c>
      <c r="B4" s="13" t="s">
        <v>636</v>
      </c>
      <c r="C4" s="13" t="s">
        <v>1465</v>
      </c>
    </row>
    <row r="5" spans="1:4" s="13" customFormat="1" ht="17.25" customHeight="1" x14ac:dyDescent="0.25">
      <c r="A5" s="13">
        <v>7</v>
      </c>
      <c r="B5" s="13" t="s">
        <v>1430</v>
      </c>
      <c r="C5" s="13" t="s">
        <v>1473</v>
      </c>
    </row>
    <row r="6" spans="1:4" s="13" customFormat="1" ht="17.25" customHeight="1" x14ac:dyDescent="0.25">
      <c r="A6" s="13">
        <v>10</v>
      </c>
      <c r="B6" s="13" t="s">
        <v>1431</v>
      </c>
      <c r="C6" s="13" t="s">
        <v>1473</v>
      </c>
    </row>
    <row r="7" spans="1:4" s="13" customFormat="1" ht="17.25" customHeight="1" x14ac:dyDescent="0.25">
      <c r="A7" s="13">
        <v>13</v>
      </c>
      <c r="B7" s="13" t="s">
        <v>1322</v>
      </c>
      <c r="C7" s="13" t="s">
        <v>1473</v>
      </c>
    </row>
    <row r="8" spans="1:4" s="13" customFormat="1" ht="17.25" customHeight="1" x14ac:dyDescent="0.25">
      <c r="A8" s="13">
        <v>16</v>
      </c>
      <c r="B8" s="13" t="s">
        <v>1339</v>
      </c>
      <c r="C8" s="13" t="s">
        <v>1473</v>
      </c>
    </row>
    <row r="9" spans="1:4" s="13" customFormat="1" ht="17.25" customHeight="1" x14ac:dyDescent="0.25">
      <c r="A9" s="13">
        <v>19</v>
      </c>
      <c r="B9" s="13" t="s">
        <v>1432</v>
      </c>
      <c r="C9" s="13" t="s">
        <v>1427</v>
      </c>
    </row>
    <row r="10" spans="1:4" s="13" customFormat="1" ht="17.25" customHeight="1" x14ac:dyDescent="0.25">
      <c r="A10" s="13">
        <v>25</v>
      </c>
      <c r="B10" s="13" t="s">
        <v>1433</v>
      </c>
      <c r="C10" s="13" t="s">
        <v>1473</v>
      </c>
    </row>
    <row r="11" spans="1:4" s="13" customFormat="1" ht="17.25" customHeight="1" x14ac:dyDescent="0.25">
      <c r="A11" s="13">
        <v>28</v>
      </c>
      <c r="B11" s="13" t="s">
        <v>1434</v>
      </c>
      <c r="C11" s="13" t="s">
        <v>1427</v>
      </c>
    </row>
    <row r="12" spans="1:4" s="13" customFormat="1" ht="17.25" customHeight="1" x14ac:dyDescent="0.25">
      <c r="A12" s="13">
        <v>29</v>
      </c>
      <c r="B12" s="13" t="s">
        <v>735</v>
      </c>
      <c r="C12" s="13" t="s">
        <v>1466</v>
      </c>
    </row>
    <row r="13" spans="1:4" s="13" customFormat="1" ht="17.25" customHeight="1" x14ac:dyDescent="0.25">
      <c r="A13" s="13">
        <v>31</v>
      </c>
      <c r="B13" s="13" t="s">
        <v>639</v>
      </c>
      <c r="C13" s="13" t="s">
        <v>1465</v>
      </c>
    </row>
    <row r="14" spans="1:4" s="13" customFormat="1" ht="17.25" customHeight="1" x14ac:dyDescent="0.25">
      <c r="A14" s="13">
        <v>34</v>
      </c>
      <c r="B14" s="13" t="s">
        <v>1435</v>
      </c>
      <c r="C14" s="13" t="s">
        <v>1473</v>
      </c>
    </row>
    <row r="15" spans="1:4" s="13" customFormat="1" ht="17.25" customHeight="1" x14ac:dyDescent="0.25">
      <c r="A15" s="13">
        <v>37</v>
      </c>
      <c r="B15" s="13" t="s">
        <v>1436</v>
      </c>
      <c r="C15" s="13" t="s">
        <v>1473</v>
      </c>
    </row>
    <row r="16" spans="1:4" s="13" customFormat="1" ht="17.25" customHeight="1" x14ac:dyDescent="0.25">
      <c r="A16" s="13">
        <v>41</v>
      </c>
      <c r="B16" s="13" t="s">
        <v>1437</v>
      </c>
      <c r="C16" s="13" t="s">
        <v>1427</v>
      </c>
    </row>
    <row r="17" spans="1:3" s="13" customFormat="1" ht="17.25" customHeight="1" x14ac:dyDescent="0.25">
      <c r="A17" s="13">
        <v>44</v>
      </c>
      <c r="B17" s="13" t="s">
        <v>1438</v>
      </c>
      <c r="C17" s="13" t="s">
        <v>1473</v>
      </c>
    </row>
    <row r="18" spans="1:3" s="13" customFormat="1" ht="17.25" customHeight="1" x14ac:dyDescent="0.25">
      <c r="A18" s="13">
        <v>47</v>
      </c>
      <c r="B18" s="13" t="s">
        <v>1439</v>
      </c>
      <c r="C18" s="13" t="s">
        <v>1473</v>
      </c>
    </row>
    <row r="19" spans="1:3" s="13" customFormat="1" ht="17.25" customHeight="1" x14ac:dyDescent="0.25">
      <c r="A19" s="13">
        <v>50</v>
      </c>
      <c r="B19" s="13" t="s">
        <v>1440</v>
      </c>
      <c r="C19" s="13" t="s">
        <v>1473</v>
      </c>
    </row>
    <row r="20" spans="1:3" s="13" customFormat="1" ht="17.25" customHeight="1" x14ac:dyDescent="0.25">
      <c r="A20" s="13">
        <v>58</v>
      </c>
      <c r="B20" s="13" t="s">
        <v>1441</v>
      </c>
      <c r="C20" s="13" t="s">
        <v>1473</v>
      </c>
    </row>
    <row r="21" spans="1:3" s="13" customFormat="1" ht="17.25" customHeight="1" x14ac:dyDescent="0.25">
      <c r="A21" s="13">
        <v>61</v>
      </c>
      <c r="B21" s="13" t="s">
        <v>1319</v>
      </c>
      <c r="C21" s="13" t="s">
        <v>1427</v>
      </c>
    </row>
    <row r="22" spans="1:3" s="13" customFormat="1" ht="17.25" customHeight="1" x14ac:dyDescent="0.25">
      <c r="A22" s="13">
        <v>78</v>
      </c>
      <c r="B22" s="13" t="s">
        <v>1442</v>
      </c>
      <c r="C22" s="13" t="s">
        <v>1427</v>
      </c>
    </row>
    <row r="23" spans="1:3" s="13" customFormat="1" ht="17.25" customHeight="1" x14ac:dyDescent="0.25">
      <c r="A23" s="13">
        <v>122</v>
      </c>
      <c r="B23" s="13" t="s">
        <v>1443</v>
      </c>
      <c r="C23" s="13" t="s">
        <v>1466</v>
      </c>
    </row>
    <row r="24" spans="1:3" s="13" customFormat="1" ht="17.25" customHeight="1" x14ac:dyDescent="0.25">
      <c r="A24" s="13">
        <v>124</v>
      </c>
      <c r="B24" s="13" t="s">
        <v>1444</v>
      </c>
      <c r="C24" s="13" t="s">
        <v>1427</v>
      </c>
    </row>
    <row r="25" spans="1:3" s="13" customFormat="1" ht="17.25" customHeight="1" x14ac:dyDescent="0.25">
      <c r="A25" s="13">
        <v>127</v>
      </c>
      <c r="B25" s="13" t="s">
        <v>1055</v>
      </c>
      <c r="C25" s="13" t="s">
        <v>1427</v>
      </c>
    </row>
    <row r="26" spans="1:3" s="13" customFormat="1" ht="17.25" customHeight="1" x14ac:dyDescent="0.25">
      <c r="A26" s="13">
        <v>128</v>
      </c>
      <c r="B26" s="13" t="s">
        <v>653</v>
      </c>
      <c r="C26" s="13" t="s">
        <v>1472</v>
      </c>
    </row>
    <row r="27" spans="1:3" s="13" customFormat="1" ht="17.25" customHeight="1" x14ac:dyDescent="0.25">
      <c r="A27" s="13">
        <v>131</v>
      </c>
      <c r="B27" s="13" t="s">
        <v>1445</v>
      </c>
      <c r="C27" s="13" t="s">
        <v>1427</v>
      </c>
    </row>
    <row r="28" spans="1:3" s="13" customFormat="1" ht="17.25" customHeight="1" x14ac:dyDescent="0.25">
      <c r="A28" s="13">
        <v>132</v>
      </c>
      <c r="B28" s="13" t="s">
        <v>654</v>
      </c>
      <c r="C28" s="13" t="s">
        <v>1465</v>
      </c>
    </row>
    <row r="29" spans="1:3" s="13" customFormat="1" ht="17.25" customHeight="1" x14ac:dyDescent="0.25">
      <c r="A29" s="13">
        <v>136</v>
      </c>
      <c r="B29" s="13" t="s">
        <v>1446</v>
      </c>
      <c r="C29" s="13" t="s">
        <v>1472</v>
      </c>
    </row>
    <row r="30" spans="1:3" s="13" customFormat="1" ht="17.25" customHeight="1" x14ac:dyDescent="0.25">
      <c r="A30" s="13">
        <v>139</v>
      </c>
      <c r="B30" s="13" t="s">
        <v>1447</v>
      </c>
      <c r="C30" s="13" t="s">
        <v>1427</v>
      </c>
    </row>
    <row r="31" spans="1:3" s="13" customFormat="1" ht="17.25" customHeight="1" x14ac:dyDescent="0.25">
      <c r="A31" s="13">
        <v>151</v>
      </c>
      <c r="B31" s="13" t="s">
        <v>1448</v>
      </c>
      <c r="C31" s="13" t="s">
        <v>1473</v>
      </c>
    </row>
    <row r="32" spans="1:3" s="13" customFormat="1" ht="17.25" customHeight="1" x14ac:dyDescent="0.25">
      <c r="A32" s="13">
        <v>154</v>
      </c>
      <c r="B32" s="13" t="s">
        <v>1449</v>
      </c>
      <c r="C32" s="13" t="s">
        <v>1473</v>
      </c>
    </row>
    <row r="33" spans="1:3" s="13" customFormat="1" ht="17.25" customHeight="1" x14ac:dyDescent="0.25">
      <c r="A33" s="13">
        <v>229</v>
      </c>
      <c r="B33" s="13" t="s">
        <v>1450</v>
      </c>
      <c r="C33" s="13" t="s">
        <v>1427</v>
      </c>
    </row>
    <row r="34" spans="1:3" s="13" customFormat="1" ht="17.25" customHeight="1" x14ac:dyDescent="0.25">
      <c r="A34" s="13">
        <v>234</v>
      </c>
      <c r="B34" s="13" t="s">
        <v>1451</v>
      </c>
      <c r="C34" s="13" t="s">
        <v>1472</v>
      </c>
    </row>
    <row r="35" spans="1:3" s="13" customFormat="1" ht="17.25" customHeight="1" x14ac:dyDescent="0.25">
      <c r="A35" s="13">
        <v>244</v>
      </c>
      <c r="B35" s="13" t="s">
        <v>1452</v>
      </c>
      <c r="C35" s="13" t="s">
        <v>1427</v>
      </c>
    </row>
    <row r="36" spans="1:3" s="13" customFormat="1" ht="17.25" customHeight="1" x14ac:dyDescent="0.25">
      <c r="A36" s="13">
        <v>247</v>
      </c>
      <c r="B36" s="13" t="s">
        <v>1453</v>
      </c>
      <c r="C36" s="13" t="s">
        <v>1427</v>
      </c>
    </row>
    <row r="37" spans="1:3" s="13" customFormat="1" ht="17.25" customHeight="1" x14ac:dyDescent="0.25">
      <c r="A37" s="13">
        <v>255</v>
      </c>
      <c r="B37" s="13" t="s">
        <v>1321</v>
      </c>
      <c r="C37" s="13" t="s">
        <v>1427</v>
      </c>
    </row>
    <row r="38" spans="1:3" s="13" customFormat="1" ht="17.25" customHeight="1" x14ac:dyDescent="0.25"/>
    <row r="39" spans="1:3" s="13" customFormat="1" ht="17.25" customHeight="1" x14ac:dyDescent="0.25"/>
    <row r="40" spans="1:3" s="13" customFormat="1" ht="17.25" customHeight="1" x14ac:dyDescent="0.25"/>
    <row r="41" spans="1:3" s="13" customFormat="1" ht="17.25" customHeight="1" x14ac:dyDescent="0.25"/>
    <row r="42" spans="1:3" s="13" customFormat="1" ht="17.25" customHeight="1" x14ac:dyDescent="0.25"/>
    <row r="43" spans="1:3" s="13" customFormat="1" ht="17.25" customHeight="1" x14ac:dyDescent="0.25"/>
    <row r="44" spans="1:3" s="13" customFormat="1" ht="17.25" customHeight="1" x14ac:dyDescent="0.25"/>
    <row r="45" spans="1:3" s="13" customFormat="1" ht="17.25" customHeight="1" x14ac:dyDescent="0.25"/>
    <row r="46" spans="1:3" s="13" customFormat="1" ht="17.25" customHeight="1" x14ac:dyDescent="0.25"/>
    <row r="47" spans="1:3" s="13" customFormat="1" ht="17.25" customHeight="1" x14ac:dyDescent="0.25"/>
    <row r="48" spans="1:3" s="13" customFormat="1" ht="17.25" customHeight="1" x14ac:dyDescent="0.25"/>
    <row r="49" s="13" customFormat="1" ht="17.25" customHeight="1" x14ac:dyDescent="0.25"/>
    <row r="50" s="13" customFormat="1" ht="17.25" customHeight="1" x14ac:dyDescent="0.25"/>
    <row r="51" s="13" customFormat="1" ht="17.25" customHeight="1" x14ac:dyDescent="0.25"/>
    <row r="52" s="13" customFormat="1" ht="17.25" customHeight="1" x14ac:dyDescent="0.25"/>
    <row r="53" s="13" customFormat="1" ht="17.25" customHeight="1" x14ac:dyDescent="0.25"/>
    <row r="54" s="13" customFormat="1" ht="17.25" customHeight="1" x14ac:dyDescent="0.25"/>
    <row r="55" s="13" customFormat="1" ht="17.25" customHeight="1" x14ac:dyDescent="0.25"/>
    <row r="56" s="13" customFormat="1" ht="17.25" customHeight="1" x14ac:dyDescent="0.25"/>
    <row r="57" s="13" customFormat="1" ht="17.25" customHeight="1" x14ac:dyDescent="0.25"/>
    <row r="58" s="13" customFormat="1" ht="17.25" customHeight="1" x14ac:dyDescent="0.25"/>
    <row r="59" s="13" customFormat="1" ht="17.25" customHeight="1" x14ac:dyDescent="0.25"/>
    <row r="60" s="13" customFormat="1" ht="17.25" customHeight="1" x14ac:dyDescent="0.25"/>
    <row r="61" s="13" customFormat="1" ht="17.25" customHeight="1" x14ac:dyDescent="0.25"/>
    <row r="62" s="13" customFormat="1" ht="17.25" customHeight="1" x14ac:dyDescent="0.25"/>
    <row r="63" s="13" customFormat="1" ht="17.25" customHeight="1" x14ac:dyDescent="0.25"/>
    <row r="64" s="13" customFormat="1" ht="17.25" customHeight="1" x14ac:dyDescent="0.25"/>
    <row r="65" s="13" customFormat="1" ht="17.25" customHeight="1" x14ac:dyDescent="0.25"/>
    <row r="66" s="13" customFormat="1" ht="17.25" customHeight="1" x14ac:dyDescent="0.25"/>
    <row r="67" s="13" customFormat="1" ht="17.25" customHeight="1" x14ac:dyDescent="0.25"/>
    <row r="68" s="13" customFormat="1" ht="17.25" customHeight="1" x14ac:dyDescent="0.25"/>
    <row r="69" s="13" customFormat="1" ht="17.25" customHeight="1" x14ac:dyDescent="0.25"/>
    <row r="70" s="13" customFormat="1" ht="17.25" customHeight="1" x14ac:dyDescent="0.25"/>
    <row r="71" s="13" customFormat="1" ht="17.25" customHeight="1" x14ac:dyDescent="0.25"/>
    <row r="72" s="13" customFormat="1" ht="17.25" customHeight="1" x14ac:dyDescent="0.25"/>
    <row r="73" s="13" customFormat="1" ht="17.25" customHeight="1" x14ac:dyDescent="0.25"/>
    <row r="74" s="13" customFormat="1" ht="17.25" customHeight="1" x14ac:dyDescent="0.25"/>
    <row r="75" s="13" customFormat="1" ht="17.25" customHeight="1" x14ac:dyDescent="0.25"/>
    <row r="76" s="13" customFormat="1" ht="17.25" customHeight="1" x14ac:dyDescent="0.25"/>
    <row r="77" s="13" customFormat="1" ht="17.25" customHeight="1" x14ac:dyDescent="0.25"/>
    <row r="78" s="13" customFormat="1" ht="17.25" customHeight="1" x14ac:dyDescent="0.25"/>
    <row r="79" s="13" customFormat="1" ht="17.25" customHeight="1" x14ac:dyDescent="0.25"/>
    <row r="80" s="13" customFormat="1" ht="17.25" customHeight="1" x14ac:dyDescent="0.25"/>
    <row r="81" s="13" customFormat="1" ht="17.25" customHeight="1" x14ac:dyDescent="0.25"/>
    <row r="82" s="13" customFormat="1" ht="17.25" customHeight="1" x14ac:dyDescent="0.25"/>
    <row r="83" s="13" customFormat="1" ht="17.25" customHeight="1" x14ac:dyDescent="0.25"/>
    <row r="84" s="13" customFormat="1" ht="17.25" customHeight="1" x14ac:dyDescent="0.25"/>
    <row r="85" s="13" customFormat="1" ht="17.25" customHeight="1" x14ac:dyDescent="0.25"/>
    <row r="86" s="13" customFormat="1" ht="17.25" customHeight="1" x14ac:dyDescent="0.25"/>
    <row r="87" s="13" customFormat="1" ht="17.25" customHeight="1" x14ac:dyDescent="0.25"/>
    <row r="88" s="13" customFormat="1" ht="17.25" customHeight="1" x14ac:dyDescent="0.25"/>
    <row r="89" s="13" customFormat="1" ht="17.25" customHeight="1" x14ac:dyDescent="0.25"/>
    <row r="90" s="13" customFormat="1" ht="17.25" customHeight="1" x14ac:dyDescent="0.25"/>
    <row r="91" s="13" customFormat="1" ht="17.25" customHeight="1" x14ac:dyDescent="0.25"/>
    <row r="92" s="13" customFormat="1" ht="17.25" customHeight="1" x14ac:dyDescent="0.25"/>
    <row r="93" s="13" customFormat="1" ht="17.25" customHeight="1" x14ac:dyDescent="0.25"/>
    <row r="94" s="13" customFormat="1" ht="17.25" customHeight="1" x14ac:dyDescent="0.25"/>
    <row r="95" s="13" customFormat="1" ht="17.25" customHeight="1" x14ac:dyDescent="0.25"/>
    <row r="96" s="13" customFormat="1" ht="17.25" customHeight="1" x14ac:dyDescent="0.25"/>
    <row r="97" s="13" customFormat="1" ht="17.25" customHeight="1" x14ac:dyDescent="0.25"/>
    <row r="98" s="13" customFormat="1" ht="17.25" customHeight="1" x14ac:dyDescent="0.25"/>
    <row r="99" s="13" customFormat="1" ht="17.25" customHeight="1" x14ac:dyDescent="0.25"/>
    <row r="100" s="13" customFormat="1" ht="17.25" customHeight="1" x14ac:dyDescent="0.25"/>
    <row r="101" s="13" customFormat="1" ht="17.25" customHeight="1" x14ac:dyDescent="0.25"/>
    <row r="102" s="13" customFormat="1" ht="17.25" customHeight="1" x14ac:dyDescent="0.25"/>
    <row r="103" s="13" customFormat="1" ht="17.25" customHeight="1" x14ac:dyDescent="0.25"/>
    <row r="104" s="13" customFormat="1" ht="17.25" customHeight="1" x14ac:dyDescent="0.25"/>
    <row r="105" s="13" customFormat="1" ht="17.25" customHeight="1" x14ac:dyDescent="0.25"/>
    <row r="106" s="13" customFormat="1" ht="17.25" customHeight="1" x14ac:dyDescent="0.25"/>
    <row r="107" s="13" customFormat="1" ht="17.25" customHeight="1" x14ac:dyDescent="0.25"/>
    <row r="108" s="13" customFormat="1" ht="17.25" customHeight="1" x14ac:dyDescent="0.25"/>
    <row r="109" s="13" customFormat="1" ht="17.25" customHeight="1" x14ac:dyDescent="0.25"/>
    <row r="110" s="13" customFormat="1" ht="17.25" customHeight="1" x14ac:dyDescent="0.25"/>
    <row r="111" s="13" customFormat="1" ht="17.25" customHeight="1" x14ac:dyDescent="0.25"/>
    <row r="112" s="13" customFormat="1" ht="17.25" customHeight="1" x14ac:dyDescent="0.25"/>
    <row r="113" s="13" customFormat="1" ht="17.25" customHeight="1" x14ac:dyDescent="0.25"/>
    <row r="114" s="13" customFormat="1" ht="17.25" customHeight="1" x14ac:dyDescent="0.25"/>
    <row r="115" s="13" customFormat="1" ht="17.25" customHeight="1" x14ac:dyDescent="0.25"/>
    <row r="116" s="13" customFormat="1" ht="17.25" customHeight="1" x14ac:dyDescent="0.25"/>
    <row r="117" s="13" customFormat="1" ht="17.25" customHeight="1" x14ac:dyDescent="0.25"/>
    <row r="118" s="13" customFormat="1" ht="17.25" customHeight="1" x14ac:dyDescent="0.25"/>
    <row r="119" s="13" customFormat="1" ht="17.25" customHeight="1" x14ac:dyDescent="0.25"/>
    <row r="120" s="13" customFormat="1" ht="17.25" customHeight="1" x14ac:dyDescent="0.25"/>
    <row r="121" s="13" customFormat="1" ht="17.25" customHeight="1" x14ac:dyDescent="0.25"/>
    <row r="122" s="13" customFormat="1" ht="17.25" customHeight="1" x14ac:dyDescent="0.25"/>
    <row r="123" s="13" customFormat="1" ht="17.25" customHeight="1" x14ac:dyDescent="0.25"/>
    <row r="124" s="13" customFormat="1" ht="17.25" customHeight="1" x14ac:dyDescent="0.25"/>
    <row r="125" s="13" customFormat="1" ht="17.25" customHeight="1" x14ac:dyDescent="0.25"/>
    <row r="126" s="13" customFormat="1" ht="17.25" customHeight="1" x14ac:dyDescent="0.25"/>
    <row r="127" s="13" customFormat="1" ht="17.25" customHeight="1" x14ac:dyDescent="0.25"/>
    <row r="128" s="13" customFormat="1" ht="17.25" customHeight="1" x14ac:dyDescent="0.25"/>
    <row r="129" s="13" customFormat="1" ht="17.25" customHeight="1" x14ac:dyDescent="0.25"/>
    <row r="130" s="13" customFormat="1" ht="17.25" customHeight="1" x14ac:dyDescent="0.25"/>
    <row r="131" s="13" customFormat="1" ht="17.25" customHeight="1" x14ac:dyDescent="0.25"/>
    <row r="132" s="13" customFormat="1" ht="17.25" customHeight="1" x14ac:dyDescent="0.25"/>
    <row r="133" s="13" customFormat="1" ht="17.25" customHeight="1" x14ac:dyDescent="0.25"/>
    <row r="134" s="13" customFormat="1" ht="17.25" customHeight="1" x14ac:dyDescent="0.25"/>
    <row r="135" s="13" customFormat="1" ht="17.25" customHeight="1" x14ac:dyDescent="0.25"/>
    <row r="136" s="13" customFormat="1" ht="17.25" customHeight="1" x14ac:dyDescent="0.25"/>
    <row r="137" s="13" customFormat="1" ht="17.25" customHeight="1" x14ac:dyDescent="0.25"/>
    <row r="138" s="13" customFormat="1" ht="17.25" customHeight="1" x14ac:dyDescent="0.25"/>
    <row r="139" s="13" customFormat="1" ht="17.25" customHeight="1" x14ac:dyDescent="0.25"/>
    <row r="140" s="13" customFormat="1" ht="17.25" customHeight="1" x14ac:dyDescent="0.25"/>
    <row r="141" s="13" customFormat="1" ht="17.25" customHeight="1" x14ac:dyDescent="0.25"/>
    <row r="142" s="13" customFormat="1" ht="17.25" customHeight="1" x14ac:dyDescent="0.25"/>
    <row r="143" s="13" customFormat="1" ht="17.25" customHeight="1" x14ac:dyDescent="0.25"/>
    <row r="144" s="13" customFormat="1" ht="17.25" customHeight="1" x14ac:dyDescent="0.25"/>
    <row r="145" s="13" customFormat="1" ht="17.25" customHeight="1" x14ac:dyDescent="0.25"/>
    <row r="146" s="13" customFormat="1" ht="17.25" customHeight="1" x14ac:dyDescent="0.25"/>
    <row r="147" s="13" customFormat="1" ht="17.25" customHeight="1" x14ac:dyDescent="0.25"/>
    <row r="148" s="13" customFormat="1" ht="17.25" customHeight="1" x14ac:dyDescent="0.25"/>
    <row r="149" s="13" customFormat="1" ht="17.25" customHeight="1" x14ac:dyDescent="0.25"/>
    <row r="150" s="13" customFormat="1" ht="17.25" customHeight="1" x14ac:dyDescent="0.25"/>
    <row r="151" s="13" customFormat="1" ht="17.25" customHeight="1" x14ac:dyDescent="0.25"/>
    <row r="152" s="13" customFormat="1" ht="17.25" customHeight="1" x14ac:dyDescent="0.25"/>
    <row r="153" s="13" customFormat="1" ht="17.25" customHeight="1" x14ac:dyDescent="0.25"/>
    <row r="154" s="13" customFormat="1" ht="17.25" customHeight="1" x14ac:dyDescent="0.25"/>
    <row r="155" s="13" customFormat="1" ht="17.25" customHeight="1" x14ac:dyDescent="0.25"/>
    <row r="156" s="13" customFormat="1" ht="17.25" customHeight="1" x14ac:dyDescent="0.25"/>
    <row r="157" s="13" customFormat="1" ht="17.25" customHeight="1" x14ac:dyDescent="0.25"/>
    <row r="158" s="13" customFormat="1" ht="17.25" customHeight="1" x14ac:dyDescent="0.25"/>
    <row r="159" s="13" customFormat="1" ht="17.25" customHeight="1" x14ac:dyDescent="0.25"/>
    <row r="160" s="13" customFormat="1" ht="17.25" customHeight="1" x14ac:dyDescent="0.25"/>
    <row r="161" s="13" customFormat="1" ht="17.25" customHeight="1" x14ac:dyDescent="0.25"/>
    <row r="162" s="13" customFormat="1" ht="17.25" customHeight="1" x14ac:dyDescent="0.25"/>
    <row r="163" s="13" customFormat="1" ht="17.25" customHeight="1" x14ac:dyDescent="0.25"/>
    <row r="164" s="13" customFormat="1" ht="17.25" customHeight="1" x14ac:dyDescent="0.25"/>
    <row r="165" s="13" customFormat="1" ht="17.25" customHeight="1" x14ac:dyDescent="0.25"/>
    <row r="166" s="13" customFormat="1" ht="17.25" customHeight="1" x14ac:dyDescent="0.25"/>
    <row r="167" s="13" customFormat="1" ht="17.25" customHeight="1" x14ac:dyDescent="0.25"/>
    <row r="168" s="13" customFormat="1" ht="17.25" customHeight="1" x14ac:dyDescent="0.25"/>
    <row r="169" s="13" customFormat="1" ht="17.25" customHeight="1" x14ac:dyDescent="0.25"/>
    <row r="170" s="13" customFormat="1" ht="17.25" customHeight="1" x14ac:dyDescent="0.25"/>
    <row r="171" s="13" customFormat="1" ht="17.25" customHeight="1" x14ac:dyDescent="0.25"/>
    <row r="172" s="13" customFormat="1" ht="17.25" customHeight="1" x14ac:dyDescent="0.25"/>
    <row r="173" s="13" customFormat="1" ht="17.25" customHeight="1" x14ac:dyDescent="0.25"/>
    <row r="174" s="13" customFormat="1" ht="17.25" customHeight="1" x14ac:dyDescent="0.25"/>
    <row r="175" s="13" customFormat="1" ht="17.25" customHeight="1" x14ac:dyDescent="0.25"/>
    <row r="176" s="13" customFormat="1" ht="17.25" customHeight="1" x14ac:dyDescent="0.25"/>
    <row r="177" s="13" customFormat="1" ht="17.25" customHeight="1" x14ac:dyDescent="0.25"/>
    <row r="178" s="13" customFormat="1" ht="17.25" customHeight="1" x14ac:dyDescent="0.25"/>
    <row r="179" s="13" customFormat="1" ht="17.25" customHeight="1" x14ac:dyDescent="0.25"/>
    <row r="180" s="13" customFormat="1" ht="17.25" customHeight="1" x14ac:dyDescent="0.25"/>
    <row r="181" s="13" customFormat="1" ht="17.25" customHeight="1" x14ac:dyDescent="0.25"/>
    <row r="182" s="13" customFormat="1" ht="17.25" customHeight="1" x14ac:dyDescent="0.25"/>
    <row r="183" s="13" customFormat="1" ht="17.25" customHeight="1" x14ac:dyDescent="0.25"/>
    <row r="184" s="13" customFormat="1" ht="17.25" customHeight="1" x14ac:dyDescent="0.25"/>
    <row r="185" s="13" customFormat="1" ht="17.25" customHeight="1" x14ac:dyDescent="0.25"/>
    <row r="186" s="13" customFormat="1" ht="17.25" customHeight="1" x14ac:dyDescent="0.25"/>
    <row r="187" s="13" customFormat="1" ht="17.25" customHeight="1" x14ac:dyDescent="0.25"/>
    <row r="188" s="13" customFormat="1" ht="17.25" customHeight="1" x14ac:dyDescent="0.25"/>
    <row r="189" s="13" customFormat="1" ht="17.25" customHeight="1" x14ac:dyDescent="0.25"/>
    <row r="190" s="13" customFormat="1" ht="17.25" customHeight="1" x14ac:dyDescent="0.25"/>
    <row r="191" s="13" customFormat="1" ht="17.25" customHeight="1" x14ac:dyDescent="0.25"/>
    <row r="192" s="13" customFormat="1" ht="17.25" customHeight="1" x14ac:dyDescent="0.25"/>
    <row r="193" s="13" customFormat="1" ht="17.25" customHeight="1" x14ac:dyDescent="0.25"/>
    <row r="194" s="13" customFormat="1" ht="17.25" customHeight="1" x14ac:dyDescent="0.25"/>
    <row r="195" s="13" customFormat="1" ht="17.25" customHeight="1" x14ac:dyDescent="0.25"/>
    <row r="196" s="13" customFormat="1" ht="17.25" customHeight="1" x14ac:dyDescent="0.25"/>
    <row r="197" s="13" customFormat="1" ht="17.25" customHeight="1" x14ac:dyDescent="0.25"/>
    <row r="198" s="13" customFormat="1" ht="17.25" customHeight="1" x14ac:dyDescent="0.25"/>
    <row r="199" s="13" customFormat="1" ht="17.25" customHeight="1" x14ac:dyDescent="0.25"/>
    <row r="200" s="13" customFormat="1" ht="17.25" customHeight="1" x14ac:dyDescent="0.25"/>
    <row r="201" s="13" customFormat="1" ht="17.25" customHeight="1" x14ac:dyDescent="0.25"/>
    <row r="202" s="13" customFormat="1" ht="17.25" customHeight="1" x14ac:dyDescent="0.25"/>
    <row r="203" s="13" customFormat="1" ht="17.25" customHeight="1" x14ac:dyDescent="0.25"/>
    <row r="204" s="13" customFormat="1" ht="17.25" customHeight="1" x14ac:dyDescent="0.25"/>
    <row r="205" s="13" customFormat="1" ht="17.25" customHeight="1" x14ac:dyDescent="0.25"/>
    <row r="206" s="13" customFormat="1" ht="17.25" customHeight="1" x14ac:dyDescent="0.25"/>
    <row r="207" s="13" customFormat="1" ht="17.25" customHeight="1" x14ac:dyDescent="0.25"/>
    <row r="208" s="13" customFormat="1" ht="17.25" customHeight="1" x14ac:dyDescent="0.25"/>
    <row r="209" s="13" customFormat="1" ht="17.25" customHeight="1" x14ac:dyDescent="0.25"/>
    <row r="210" s="13" customFormat="1" ht="17.25" customHeight="1" x14ac:dyDescent="0.25"/>
    <row r="211" s="13" customFormat="1" ht="17.25" customHeight="1" x14ac:dyDescent="0.25"/>
    <row r="212" s="13" customFormat="1" ht="17.25" customHeight="1" x14ac:dyDescent="0.25"/>
    <row r="213" s="13" customFormat="1" ht="17.25" customHeight="1" x14ac:dyDescent="0.25"/>
    <row r="214" s="13" customFormat="1" ht="17.25" customHeight="1" x14ac:dyDescent="0.25"/>
    <row r="215" s="13" customFormat="1" ht="17.25" customHeight="1" x14ac:dyDescent="0.25"/>
    <row r="216" s="13" customFormat="1" ht="17.25" customHeight="1" x14ac:dyDescent="0.25"/>
    <row r="217" s="13" customFormat="1" ht="17.25" customHeight="1" x14ac:dyDescent="0.25"/>
    <row r="218" s="13" customFormat="1" ht="17.25" customHeight="1" x14ac:dyDescent="0.25"/>
    <row r="219" s="13" customFormat="1" ht="17.25" customHeight="1" x14ac:dyDescent="0.25"/>
    <row r="220" s="13" customFormat="1" ht="17.25" customHeight="1" x14ac:dyDescent="0.25"/>
    <row r="221" s="13" customFormat="1" ht="17.25" customHeight="1" x14ac:dyDescent="0.25"/>
    <row r="222" s="13" customFormat="1" ht="17.25" customHeight="1" x14ac:dyDescent="0.25"/>
    <row r="223" s="13" customFormat="1" ht="17.25" customHeight="1" x14ac:dyDescent="0.25"/>
    <row r="224" s="13" customFormat="1" ht="17.25" customHeight="1" x14ac:dyDescent="0.25"/>
    <row r="225" s="13" customFormat="1" ht="17.25" customHeight="1" x14ac:dyDescent="0.25"/>
    <row r="226" s="13" customFormat="1" ht="17.25" customHeight="1" x14ac:dyDescent="0.25"/>
    <row r="227" s="13" customFormat="1" ht="17.25" customHeight="1" x14ac:dyDescent="0.25"/>
    <row r="228" s="13" customFormat="1" ht="17.25" customHeight="1" x14ac:dyDescent="0.25"/>
    <row r="229" s="13" customFormat="1" ht="17.25" customHeight="1" x14ac:dyDescent="0.25"/>
    <row r="230" s="13" customFormat="1" ht="17.25" customHeight="1" x14ac:dyDescent="0.25"/>
    <row r="231" s="13" customFormat="1" ht="17.25" customHeight="1" x14ac:dyDescent="0.25"/>
    <row r="232" s="13" customFormat="1" ht="17.25" customHeight="1" x14ac:dyDescent="0.25"/>
    <row r="233" s="13" customFormat="1" ht="17.25" customHeight="1" x14ac:dyDescent="0.25"/>
    <row r="234" s="13" customFormat="1" ht="17.25" customHeight="1" x14ac:dyDescent="0.25"/>
    <row r="235" s="13" customFormat="1" ht="17.25" customHeight="1" x14ac:dyDescent="0.25"/>
    <row r="236" s="13" customFormat="1" ht="17.25" customHeight="1" x14ac:dyDescent="0.25"/>
    <row r="237" s="13" customFormat="1" ht="17.25" customHeight="1" x14ac:dyDescent="0.25"/>
    <row r="238" s="13" customFormat="1" ht="17.25" customHeight="1" x14ac:dyDescent="0.25"/>
    <row r="239" s="13" customFormat="1" ht="17.25" customHeight="1" x14ac:dyDescent="0.25"/>
    <row r="240" s="13" customFormat="1" ht="17.25" customHeight="1" x14ac:dyDescent="0.25"/>
    <row r="241" s="13" customFormat="1" ht="17.25" customHeight="1" x14ac:dyDescent="0.25"/>
    <row r="242" s="13" customFormat="1" ht="17.25" customHeight="1" x14ac:dyDescent="0.25"/>
    <row r="243" s="13" customFormat="1" ht="17.25" customHeight="1" x14ac:dyDescent="0.25"/>
    <row r="244" s="13" customFormat="1" ht="17.25" customHeight="1" x14ac:dyDescent="0.25"/>
    <row r="245" s="13" customFormat="1" ht="17.25" customHeight="1" x14ac:dyDescent="0.25"/>
    <row r="246" s="13" customFormat="1" ht="17.25" customHeight="1" x14ac:dyDescent="0.25"/>
    <row r="247" s="13" customFormat="1" ht="17.25" customHeight="1" x14ac:dyDescent="0.25"/>
    <row r="248" s="13" customFormat="1" ht="17.25" customHeight="1" x14ac:dyDescent="0.25"/>
    <row r="249" s="13" customFormat="1" ht="17.25" customHeight="1" x14ac:dyDescent="0.25"/>
    <row r="250" s="13" customFormat="1" ht="17.25" customHeight="1" x14ac:dyDescent="0.25"/>
    <row r="251" s="13" customFormat="1" ht="17.25" customHeight="1" x14ac:dyDescent="0.25"/>
    <row r="252" s="13" customFormat="1" ht="17.25" customHeight="1" x14ac:dyDescent="0.25"/>
    <row r="253" s="13" customFormat="1" ht="17.25" customHeight="1" x14ac:dyDescent="0.25"/>
    <row r="254" s="13" customFormat="1" ht="17.25" customHeight="1" x14ac:dyDescent="0.25"/>
    <row r="255" s="13" customFormat="1" ht="17.25" customHeight="1" x14ac:dyDescent="0.25"/>
    <row r="256" s="13" customFormat="1" ht="17.25" customHeight="1" x14ac:dyDescent="0.25"/>
    <row r="257" s="13" customFormat="1" ht="17.25" customHeight="1" x14ac:dyDescent="0.25"/>
    <row r="258" s="13" customFormat="1" ht="17.25" customHeight="1" x14ac:dyDescent="0.25"/>
    <row r="259" s="13" customFormat="1" ht="17.25" customHeight="1" x14ac:dyDescent="0.25"/>
    <row r="260" s="13" customFormat="1" ht="17.25" customHeight="1" x14ac:dyDescent="0.25"/>
    <row r="261" s="13" customFormat="1" ht="17.25" customHeight="1" x14ac:dyDescent="0.25"/>
    <row r="262" s="13" customFormat="1" ht="17.25" customHeight="1" x14ac:dyDescent="0.25"/>
    <row r="263" s="13" customFormat="1" ht="17.25" customHeight="1" x14ac:dyDescent="0.25"/>
    <row r="264" s="13" customFormat="1" ht="17.25" customHeight="1" x14ac:dyDescent="0.25"/>
    <row r="265" s="13" customFormat="1" ht="17.25" customHeight="1" x14ac:dyDescent="0.25"/>
    <row r="266" s="13" customFormat="1" ht="17.25" customHeight="1" x14ac:dyDescent="0.25"/>
    <row r="267" s="13" customFormat="1" ht="17.25" customHeight="1" x14ac:dyDescent="0.25"/>
    <row r="268" s="13" customFormat="1" ht="17.25" customHeight="1" x14ac:dyDescent="0.25"/>
    <row r="269" s="13" customFormat="1" ht="17.25" customHeight="1" x14ac:dyDescent="0.25"/>
    <row r="270" s="13" customFormat="1" ht="17.25" customHeight="1" x14ac:dyDescent="0.25"/>
    <row r="271" s="13" customFormat="1" ht="17.25" customHeight="1" x14ac:dyDescent="0.25"/>
    <row r="272" s="13" customFormat="1" ht="17.25" customHeight="1" x14ac:dyDescent="0.25"/>
    <row r="273" s="13" customFormat="1" ht="17.25" customHeight="1" x14ac:dyDescent="0.25"/>
    <row r="274" s="13" customFormat="1" ht="17.25" customHeight="1" x14ac:dyDescent="0.25"/>
    <row r="275" s="13" customFormat="1" ht="17.25" customHeight="1" x14ac:dyDescent="0.25"/>
    <row r="276" s="13" customFormat="1" ht="17.25" customHeight="1" x14ac:dyDescent="0.25"/>
    <row r="277" s="13" customFormat="1" ht="17.25" customHeight="1" x14ac:dyDescent="0.25"/>
    <row r="278" s="13" customFormat="1" ht="17.25" customHeight="1" x14ac:dyDescent="0.25"/>
    <row r="279" s="13" customFormat="1" ht="17.25" customHeight="1" x14ac:dyDescent="0.25"/>
    <row r="280" s="13" customFormat="1" ht="17.25" customHeight="1" x14ac:dyDescent="0.25"/>
    <row r="281" s="13" customFormat="1" ht="17.25" customHeight="1" x14ac:dyDescent="0.25"/>
    <row r="282" s="13" customFormat="1" ht="17.25" customHeight="1" x14ac:dyDescent="0.25"/>
    <row r="283" s="13" customFormat="1" ht="17.25" customHeight="1" x14ac:dyDescent="0.25"/>
    <row r="284" s="13" customFormat="1" ht="17.25" customHeight="1" x14ac:dyDescent="0.25"/>
    <row r="285" s="13" customFormat="1" ht="17.25" customHeight="1" x14ac:dyDescent="0.25"/>
    <row r="286" s="13" customFormat="1" ht="17.25" customHeight="1" x14ac:dyDescent="0.25"/>
    <row r="287" s="13" customFormat="1" ht="17.25" customHeight="1" x14ac:dyDescent="0.25"/>
    <row r="288" s="13" customFormat="1" ht="17.25" customHeight="1" x14ac:dyDescent="0.25"/>
    <row r="289" s="13" customFormat="1" ht="17.25" customHeight="1" x14ac:dyDescent="0.25"/>
    <row r="290" s="13" customFormat="1" ht="17.25" customHeight="1" x14ac:dyDescent="0.25"/>
    <row r="291" s="13" customFormat="1" ht="17.25" customHeight="1" x14ac:dyDescent="0.25"/>
    <row r="292" s="13" customFormat="1" ht="17.25" customHeight="1" x14ac:dyDescent="0.25"/>
    <row r="293" s="13" customFormat="1" ht="17.25" customHeight="1" x14ac:dyDescent="0.25"/>
    <row r="294" s="13" customFormat="1" ht="17.25" customHeight="1" x14ac:dyDescent="0.25"/>
    <row r="295" s="13" customFormat="1" ht="17.25" customHeight="1" x14ac:dyDescent="0.25"/>
    <row r="296" s="13" customFormat="1" ht="17.25" customHeight="1" x14ac:dyDescent="0.25"/>
    <row r="297" s="13" customFormat="1" ht="17.25" customHeight="1" x14ac:dyDescent="0.25"/>
    <row r="298" s="13" customFormat="1" ht="17.25" customHeight="1" x14ac:dyDescent="0.25"/>
    <row r="299" s="13" customFormat="1" ht="17.25" customHeight="1" x14ac:dyDescent="0.25"/>
    <row r="300" s="13" customFormat="1" ht="17.25" customHeight="1" x14ac:dyDescent="0.25"/>
    <row r="301" s="13" customFormat="1" ht="17.25" customHeight="1" x14ac:dyDescent="0.25"/>
    <row r="302" s="13" customFormat="1" ht="17.25" customHeight="1" x14ac:dyDescent="0.25"/>
    <row r="303" s="13" customFormat="1" ht="17.25" customHeight="1" x14ac:dyDescent="0.25"/>
    <row r="304" s="13" customFormat="1" ht="17.25" customHeight="1" x14ac:dyDescent="0.25"/>
    <row r="305" s="13" customFormat="1" ht="17.25" customHeight="1" x14ac:dyDescent="0.25"/>
    <row r="306" s="13" customFormat="1" ht="17.25" customHeight="1" x14ac:dyDescent="0.25"/>
    <row r="307" s="13" customFormat="1" ht="17.25" customHeight="1" x14ac:dyDescent="0.25"/>
    <row r="308" s="13" customFormat="1" ht="17.25" customHeight="1" x14ac:dyDescent="0.25"/>
    <row r="309" s="13" customFormat="1" ht="17.25" customHeight="1" x14ac:dyDescent="0.25"/>
    <row r="310" s="13" customFormat="1" ht="17.25" customHeight="1" x14ac:dyDescent="0.25"/>
    <row r="311" s="13" customFormat="1" ht="17.25" customHeight="1" x14ac:dyDescent="0.25"/>
    <row r="312" s="13" customFormat="1" ht="17.25" customHeight="1" x14ac:dyDescent="0.25"/>
    <row r="313" s="13" customFormat="1" ht="17.25" customHeight="1" x14ac:dyDescent="0.25"/>
    <row r="314" s="13" customFormat="1" ht="17.25" customHeight="1" x14ac:dyDescent="0.25"/>
    <row r="315" s="13" customFormat="1" ht="17.25" customHeight="1" x14ac:dyDescent="0.25"/>
    <row r="316" s="13" customFormat="1" ht="17.25" customHeight="1" x14ac:dyDescent="0.25"/>
    <row r="317" s="13" customFormat="1" ht="17.25" customHeight="1" x14ac:dyDescent="0.25"/>
    <row r="318" s="13" customFormat="1" ht="17.25" customHeight="1" x14ac:dyDescent="0.25"/>
    <row r="319" s="13" customFormat="1" ht="17.25" customHeight="1" x14ac:dyDescent="0.25"/>
    <row r="320" s="13" customFormat="1" ht="17.25" customHeight="1" x14ac:dyDescent="0.25"/>
    <row r="321" s="13" customFormat="1" ht="17.25" customHeight="1" x14ac:dyDescent="0.25"/>
    <row r="322" s="13" customFormat="1" ht="17.25" customHeight="1" x14ac:dyDescent="0.25"/>
    <row r="323" s="13" customFormat="1" ht="17.25" customHeight="1" x14ac:dyDescent="0.25"/>
    <row r="324" s="13" customFormat="1" ht="17.25" customHeight="1" x14ac:dyDescent="0.25"/>
    <row r="325" s="13" customFormat="1" ht="17.25" customHeight="1" x14ac:dyDescent="0.25"/>
    <row r="326" s="13" customFormat="1" ht="17.25" customHeight="1" x14ac:dyDescent="0.25"/>
    <row r="327" s="13" customFormat="1" ht="17.25" customHeight="1" x14ac:dyDescent="0.25"/>
    <row r="328" s="13" customFormat="1" ht="17.25" customHeight="1" x14ac:dyDescent="0.25"/>
    <row r="329" s="13" customFormat="1" ht="17.25" customHeight="1" x14ac:dyDescent="0.25"/>
    <row r="330" s="13" customFormat="1" ht="17.25" customHeight="1" x14ac:dyDescent="0.25"/>
    <row r="331" s="13" customFormat="1" ht="17.25" customHeight="1" x14ac:dyDescent="0.25"/>
    <row r="332" s="13" customFormat="1" ht="17.25" customHeight="1" x14ac:dyDescent="0.25"/>
    <row r="333" s="13" customFormat="1" ht="17.25" customHeight="1" x14ac:dyDescent="0.25"/>
    <row r="334" s="13" customFormat="1" ht="17.25" customHeight="1" x14ac:dyDescent="0.25"/>
    <row r="335" s="13" customFormat="1" ht="17.25" customHeight="1" x14ac:dyDescent="0.25"/>
    <row r="336" s="13" customFormat="1" ht="17.25" customHeight="1" x14ac:dyDescent="0.25"/>
    <row r="337" s="13" customFormat="1" ht="17.25" customHeight="1" x14ac:dyDescent="0.25"/>
    <row r="338" s="13" customFormat="1" ht="17.25" customHeight="1" x14ac:dyDescent="0.25"/>
    <row r="339" s="13" customFormat="1" ht="17.25" customHeight="1" x14ac:dyDescent="0.25"/>
    <row r="340" s="13" customFormat="1" ht="17.25" customHeight="1" x14ac:dyDescent="0.25"/>
    <row r="341" s="13" customFormat="1" ht="17.25" customHeight="1" x14ac:dyDescent="0.25"/>
    <row r="342" s="13" customFormat="1" ht="17.25" customHeight="1" x14ac:dyDescent="0.25"/>
    <row r="343" s="13" customFormat="1" ht="17.25" customHeight="1" x14ac:dyDescent="0.25"/>
    <row r="344" s="13" customFormat="1" ht="17.25" customHeight="1" x14ac:dyDescent="0.25"/>
    <row r="345" s="13" customFormat="1" ht="17.25" customHeight="1" x14ac:dyDescent="0.25"/>
    <row r="346" s="13" customFormat="1" ht="17.25" customHeight="1" x14ac:dyDescent="0.25"/>
    <row r="347" s="13" customFormat="1" ht="17.25" customHeight="1" x14ac:dyDescent="0.25"/>
    <row r="348" s="13" customFormat="1" ht="17.25" customHeight="1" x14ac:dyDescent="0.25"/>
    <row r="349" s="13" customFormat="1" ht="17.25" customHeight="1" x14ac:dyDescent="0.25"/>
    <row r="350" s="13" customFormat="1" ht="17.25" customHeight="1" x14ac:dyDescent="0.25"/>
    <row r="351" s="13" customFormat="1" ht="17.25" customHeight="1" x14ac:dyDescent="0.25"/>
    <row r="352" s="13" customFormat="1" ht="17.25" customHeight="1" x14ac:dyDescent="0.25"/>
    <row r="353" s="13" customFormat="1" ht="17.25" customHeight="1" x14ac:dyDescent="0.25"/>
    <row r="354" s="13" customFormat="1" ht="17.25" customHeight="1" x14ac:dyDescent="0.25"/>
    <row r="355" s="13" customFormat="1" ht="17.25" customHeight="1" x14ac:dyDescent="0.25"/>
    <row r="356" s="13" customFormat="1" ht="17.25" customHeight="1" x14ac:dyDescent="0.25"/>
    <row r="357" s="13" customFormat="1" ht="17.25" customHeight="1" x14ac:dyDescent="0.25"/>
    <row r="358" s="13" customFormat="1" ht="17.25" customHeight="1" x14ac:dyDescent="0.25"/>
    <row r="359" s="13" customFormat="1" ht="17.25" customHeight="1" x14ac:dyDescent="0.25"/>
    <row r="360" s="13" customFormat="1" ht="17.25" customHeight="1" x14ac:dyDescent="0.25"/>
    <row r="361" s="13" customFormat="1" ht="17.25" customHeight="1" x14ac:dyDescent="0.25"/>
    <row r="362" s="13" customFormat="1" ht="17.25" customHeight="1" x14ac:dyDescent="0.25"/>
    <row r="363" s="13" customFormat="1" ht="17.25" customHeight="1" x14ac:dyDescent="0.25"/>
    <row r="364" s="13" customFormat="1" ht="17.25" customHeight="1" x14ac:dyDescent="0.25"/>
    <row r="365" s="13" customFormat="1" ht="17.25" customHeight="1" x14ac:dyDescent="0.25"/>
    <row r="366" s="13" customFormat="1" ht="17.25" customHeight="1" x14ac:dyDescent="0.25"/>
    <row r="367" s="13" customFormat="1" ht="17.25" customHeight="1" x14ac:dyDescent="0.25"/>
    <row r="368" s="13" customFormat="1" ht="17.25" customHeight="1" x14ac:dyDescent="0.25"/>
    <row r="369" s="13" customFormat="1" ht="17.25" customHeight="1" x14ac:dyDescent="0.25"/>
    <row r="370" s="13" customFormat="1" ht="17.25" customHeight="1" x14ac:dyDescent="0.25"/>
    <row r="371" s="13" customFormat="1" ht="17.25" customHeight="1" x14ac:dyDescent="0.25"/>
    <row r="372" s="13" customFormat="1" ht="17.25" customHeight="1" x14ac:dyDescent="0.25"/>
    <row r="373" s="13" customFormat="1" ht="17.25" customHeight="1" x14ac:dyDescent="0.25"/>
    <row r="374" s="13" customFormat="1" ht="17.25" customHeight="1" x14ac:dyDescent="0.25"/>
    <row r="375" s="13" customFormat="1" ht="17.25" customHeight="1" x14ac:dyDescent="0.25"/>
    <row r="376" s="13" customFormat="1" ht="17.25" customHeight="1" x14ac:dyDescent="0.25"/>
    <row r="377" s="13" customFormat="1" ht="17.25" customHeight="1" x14ac:dyDescent="0.25"/>
    <row r="378" s="13" customFormat="1" ht="17.25" customHeight="1" x14ac:dyDescent="0.25"/>
    <row r="379" s="13" customFormat="1" ht="17.25" customHeight="1" x14ac:dyDescent="0.25"/>
    <row r="380" s="13" customFormat="1" ht="17.25" customHeight="1" x14ac:dyDescent="0.25"/>
    <row r="381" s="13" customFormat="1" ht="17.25" customHeight="1" x14ac:dyDescent="0.25"/>
    <row r="382" s="13" customFormat="1" ht="17.25" customHeight="1" x14ac:dyDescent="0.25"/>
    <row r="383" s="13" customFormat="1" ht="17.25" customHeight="1" x14ac:dyDescent="0.25"/>
    <row r="384" s="13" customFormat="1" ht="17.25" customHeight="1" x14ac:dyDescent="0.25"/>
    <row r="385" s="13" customFormat="1" ht="17.25" customHeight="1" x14ac:dyDescent="0.25"/>
    <row r="386" s="13" customFormat="1" ht="17.25" customHeight="1" x14ac:dyDescent="0.25"/>
    <row r="387" s="13" customFormat="1" ht="17.25" customHeight="1" x14ac:dyDescent="0.25"/>
    <row r="388" s="13" customFormat="1" ht="17.25" customHeight="1" x14ac:dyDescent="0.25"/>
    <row r="389" s="13" customFormat="1" ht="17.25" customHeight="1" x14ac:dyDescent="0.25"/>
    <row r="390" s="13" customFormat="1" ht="17.25" customHeight="1" x14ac:dyDescent="0.25"/>
    <row r="391" s="13" customFormat="1" ht="17.25" customHeight="1" x14ac:dyDescent="0.25"/>
    <row r="392" s="13" customFormat="1" ht="17.25" customHeight="1" x14ac:dyDescent="0.25"/>
    <row r="393" s="13" customFormat="1" ht="17.25" customHeight="1" x14ac:dyDescent="0.25"/>
    <row r="394" s="13" customFormat="1" ht="17.25" customHeight="1" x14ac:dyDescent="0.25"/>
    <row r="395" s="13" customFormat="1" ht="17.25" customHeight="1" x14ac:dyDescent="0.25"/>
    <row r="396" s="13" customFormat="1" ht="17.25" customHeight="1" x14ac:dyDescent="0.25"/>
    <row r="397" s="13" customFormat="1" ht="17.25" customHeight="1" x14ac:dyDescent="0.25"/>
    <row r="398" s="13" customFormat="1" ht="17.25" customHeight="1" x14ac:dyDescent="0.25"/>
    <row r="399" s="13" customFormat="1" ht="17.25" customHeight="1" x14ac:dyDescent="0.25"/>
    <row r="400" s="13" customFormat="1" ht="17.25" customHeight="1" x14ac:dyDescent="0.25"/>
    <row r="401" s="13" customFormat="1" ht="17.25" customHeight="1" x14ac:dyDescent="0.25"/>
    <row r="402" s="13" customFormat="1" ht="17.25" customHeight="1" x14ac:dyDescent="0.25"/>
    <row r="403" s="13" customFormat="1" ht="17.25" customHeight="1" x14ac:dyDescent="0.25"/>
    <row r="404" s="13" customFormat="1" ht="17.25" customHeight="1" x14ac:dyDescent="0.25"/>
    <row r="405" s="13" customFormat="1" ht="17.25" customHeight="1" x14ac:dyDescent="0.25"/>
    <row r="406" s="13" customFormat="1" ht="17.25" customHeight="1" x14ac:dyDescent="0.25"/>
    <row r="407" s="13" customFormat="1" ht="17.25" customHeight="1" x14ac:dyDescent="0.25"/>
    <row r="408" s="13" customFormat="1" ht="17.25" customHeight="1" x14ac:dyDescent="0.25"/>
    <row r="409" s="13" customFormat="1" ht="17.25" customHeight="1" x14ac:dyDescent="0.25"/>
    <row r="410" s="13" customFormat="1" ht="17.25" customHeight="1" x14ac:dyDescent="0.25"/>
    <row r="411" s="13" customFormat="1" ht="17.25" customHeight="1" x14ac:dyDescent="0.25"/>
    <row r="412" s="13" customFormat="1" ht="17.25" customHeight="1" x14ac:dyDescent="0.25"/>
    <row r="413" s="13" customFormat="1" ht="17.25" customHeight="1" x14ac:dyDescent="0.25"/>
    <row r="414" s="13" customFormat="1" ht="17.25" customHeight="1" x14ac:dyDescent="0.25"/>
    <row r="415" s="13" customFormat="1" ht="17.25" customHeight="1" x14ac:dyDescent="0.25"/>
    <row r="416" s="13" customFormat="1" ht="17.25" customHeight="1" x14ac:dyDescent="0.25"/>
    <row r="417" s="13" customFormat="1" ht="17.25" customHeight="1" x14ac:dyDescent="0.25"/>
    <row r="418" s="13" customFormat="1" ht="17.25" customHeight="1" x14ac:dyDescent="0.25"/>
    <row r="419" s="13" customFormat="1" ht="17.25" customHeight="1" x14ac:dyDescent="0.25"/>
    <row r="420" s="13" customFormat="1" ht="17.25" customHeight="1" x14ac:dyDescent="0.25"/>
    <row r="421" s="13" customFormat="1" ht="17.25" customHeight="1" x14ac:dyDescent="0.25"/>
    <row r="422" s="13" customFormat="1" ht="17.25" customHeight="1" x14ac:dyDescent="0.25"/>
    <row r="423" s="13" customFormat="1" ht="17.25" customHeight="1" x14ac:dyDescent="0.25"/>
    <row r="424" s="13" customFormat="1" ht="17.25" customHeight="1" x14ac:dyDescent="0.25"/>
    <row r="425" s="13" customFormat="1" ht="17.25" customHeight="1" x14ac:dyDescent="0.25"/>
    <row r="426" s="13" customFormat="1" ht="17.25" customHeight="1" x14ac:dyDescent="0.25"/>
    <row r="427" s="13" customFormat="1" ht="17.25" customHeight="1" x14ac:dyDescent="0.25"/>
    <row r="428" s="13" customFormat="1" ht="17.25" customHeight="1" x14ac:dyDescent="0.25"/>
    <row r="429" s="13" customFormat="1" ht="17.25" customHeight="1" x14ac:dyDescent="0.25"/>
    <row r="430" s="13" customFormat="1" ht="17.25" customHeight="1" x14ac:dyDescent="0.25"/>
    <row r="431" s="13" customFormat="1" ht="17.25" customHeight="1" x14ac:dyDescent="0.25"/>
    <row r="432" s="13" customFormat="1" ht="17.25" customHeight="1" x14ac:dyDescent="0.25"/>
    <row r="433" s="13" customFormat="1" ht="17.25" customHeight="1" x14ac:dyDescent="0.25"/>
    <row r="434" s="13" customFormat="1" ht="17.25" customHeight="1" x14ac:dyDescent="0.25"/>
    <row r="435" s="13" customFormat="1" ht="17.25" customHeight="1" x14ac:dyDescent="0.25"/>
    <row r="436" s="13" customFormat="1" ht="17.25" customHeight="1" x14ac:dyDescent="0.25"/>
    <row r="437" s="13" customFormat="1" ht="17.25" customHeight="1" x14ac:dyDescent="0.25"/>
    <row r="438" s="13" customFormat="1" ht="17.25" customHeight="1" x14ac:dyDescent="0.25"/>
    <row r="439" s="13" customFormat="1" ht="17.25" customHeight="1" x14ac:dyDescent="0.25"/>
    <row r="440" s="13" customFormat="1" ht="17.25" customHeight="1" x14ac:dyDescent="0.25"/>
    <row r="441" s="13" customFormat="1" ht="17.25" customHeight="1" x14ac:dyDescent="0.25"/>
    <row r="442" s="13" customFormat="1" ht="17.25" customHeight="1" x14ac:dyDescent="0.25"/>
    <row r="443" s="13" customFormat="1" ht="17.25" customHeight="1" x14ac:dyDescent="0.25"/>
    <row r="444" s="13" customFormat="1" ht="17.25" customHeight="1" x14ac:dyDescent="0.25"/>
    <row r="445" s="13" customFormat="1" ht="17.25" customHeight="1" x14ac:dyDescent="0.25"/>
    <row r="446" s="13" customFormat="1" ht="17.25" customHeight="1" x14ac:dyDescent="0.25"/>
    <row r="447" s="13" customFormat="1" ht="17.25" customHeight="1" x14ac:dyDescent="0.25"/>
    <row r="448" s="13" customFormat="1" ht="17.25" customHeight="1" x14ac:dyDescent="0.25"/>
    <row r="449" s="13" customFormat="1" ht="17.25" customHeight="1" x14ac:dyDescent="0.25"/>
    <row r="450" s="13" customFormat="1" ht="17.25" customHeight="1" x14ac:dyDescent="0.25"/>
    <row r="451" s="13" customFormat="1" ht="17.25" customHeight="1" x14ac:dyDescent="0.25"/>
    <row r="452" s="13" customFormat="1" ht="17.25" customHeight="1" x14ac:dyDescent="0.25"/>
    <row r="453" s="13" customFormat="1" ht="17.25" customHeight="1" x14ac:dyDescent="0.25"/>
    <row r="454" s="13" customFormat="1" ht="17.25" customHeight="1" x14ac:dyDescent="0.25"/>
    <row r="455" s="13" customFormat="1" ht="17.25" customHeight="1" x14ac:dyDescent="0.25"/>
    <row r="456" s="13" customFormat="1" ht="17.25" customHeight="1" x14ac:dyDescent="0.25"/>
    <row r="457" s="13" customFormat="1" ht="17.25" customHeight="1" x14ac:dyDescent="0.25"/>
    <row r="458" s="13" customFormat="1" ht="17.25" customHeight="1" x14ac:dyDescent="0.25"/>
    <row r="459" s="13" customFormat="1" ht="17.25" customHeight="1" x14ac:dyDescent="0.25"/>
    <row r="460" s="13" customFormat="1" ht="17.25" customHeight="1" x14ac:dyDescent="0.25"/>
    <row r="461" s="13" customFormat="1" ht="17.25" customHeight="1" x14ac:dyDescent="0.25"/>
    <row r="462" s="13" customFormat="1" ht="17.25" customHeight="1" x14ac:dyDescent="0.25"/>
    <row r="463" s="13" customFormat="1" ht="17.25" customHeight="1" x14ac:dyDescent="0.25"/>
    <row r="464" s="13" customFormat="1" ht="17.25" customHeight="1" x14ac:dyDescent="0.25"/>
    <row r="465" s="13" customFormat="1" ht="17.25" customHeight="1" x14ac:dyDescent="0.25"/>
    <row r="466" s="13" customFormat="1" ht="17.25" customHeight="1" x14ac:dyDescent="0.25"/>
    <row r="467" s="13" customFormat="1" ht="17.25" customHeight="1" x14ac:dyDescent="0.25"/>
    <row r="468" s="13" customFormat="1" ht="17.25" customHeight="1" x14ac:dyDescent="0.25"/>
    <row r="469" s="13" customFormat="1" ht="17.25" customHeight="1" x14ac:dyDescent="0.25"/>
    <row r="470" s="13" customFormat="1" ht="17.25" customHeight="1" x14ac:dyDescent="0.25"/>
    <row r="471" s="13" customFormat="1" ht="17.25" customHeight="1" x14ac:dyDescent="0.25"/>
    <row r="472" s="13" customFormat="1" ht="17.25" customHeight="1" x14ac:dyDescent="0.25"/>
    <row r="473" s="13" customFormat="1" ht="17.25" customHeight="1" x14ac:dyDescent="0.25"/>
    <row r="474" s="13" customFormat="1" ht="17.25" customHeight="1" x14ac:dyDescent="0.25"/>
    <row r="475" s="13" customFormat="1" ht="17.25" customHeight="1" x14ac:dyDescent="0.25"/>
    <row r="476" s="13" customFormat="1" ht="17.25" customHeight="1" x14ac:dyDescent="0.25"/>
    <row r="477" s="13" customFormat="1" ht="17.25" customHeight="1" x14ac:dyDescent="0.25"/>
    <row r="478" s="13" customFormat="1" ht="17.25" customHeight="1" x14ac:dyDescent="0.25"/>
    <row r="479" s="13" customFormat="1" ht="17.25" customHeight="1" x14ac:dyDescent="0.25"/>
    <row r="480" s="13" customFormat="1" ht="17.25" customHeight="1" x14ac:dyDescent="0.25"/>
    <row r="481" s="13" customFormat="1" ht="17.25" customHeight="1" x14ac:dyDescent="0.25"/>
    <row r="482" s="13" customFormat="1" ht="17.25" customHeight="1" x14ac:dyDescent="0.25"/>
    <row r="483" s="13" customFormat="1" ht="17.25" customHeight="1" x14ac:dyDescent="0.25"/>
    <row r="484" s="13" customFormat="1" ht="17.25" customHeight="1" x14ac:dyDescent="0.25"/>
    <row r="485" s="13" customFormat="1" ht="17.25" customHeight="1" x14ac:dyDescent="0.25"/>
    <row r="486" s="13" customFormat="1" ht="17.25" customHeight="1" x14ac:dyDescent="0.25"/>
    <row r="487" s="13" customFormat="1" ht="17.25" customHeight="1" x14ac:dyDescent="0.25"/>
    <row r="488" s="13" customFormat="1" ht="17.25" customHeight="1" x14ac:dyDescent="0.25"/>
    <row r="489" s="13" customFormat="1" ht="17.25" customHeight="1" x14ac:dyDescent="0.25"/>
    <row r="490" s="13" customFormat="1" ht="17.25" customHeight="1" x14ac:dyDescent="0.25"/>
    <row r="491" s="13" customFormat="1" ht="17.25" customHeight="1" x14ac:dyDescent="0.25"/>
    <row r="492" s="13" customFormat="1" ht="17.25" customHeight="1" x14ac:dyDescent="0.25"/>
    <row r="493" s="13" customFormat="1" ht="17.25" customHeight="1" x14ac:dyDescent="0.25"/>
    <row r="494" s="13" customFormat="1" ht="17.25" customHeight="1" x14ac:dyDescent="0.25"/>
    <row r="495" s="13" customFormat="1" ht="17.25" customHeight="1" x14ac:dyDescent="0.25"/>
    <row r="496" s="13" customFormat="1" ht="17.25" customHeight="1" x14ac:dyDescent="0.25"/>
    <row r="497" s="13" customFormat="1" ht="17.25" customHeight="1" x14ac:dyDescent="0.25"/>
    <row r="498" s="13" customFormat="1" ht="17.25" customHeight="1" x14ac:dyDescent="0.25"/>
    <row r="499" s="13" customFormat="1" ht="17.25" customHeight="1" x14ac:dyDescent="0.25"/>
    <row r="500" s="13" customFormat="1" ht="17.25" customHeight="1" x14ac:dyDescent="0.25"/>
    <row r="501" s="13" customFormat="1" ht="17.25" customHeight="1" x14ac:dyDescent="0.25"/>
    <row r="502" s="13" customFormat="1" ht="17.25" customHeight="1" x14ac:dyDescent="0.25"/>
    <row r="503" s="13" customFormat="1" ht="17.25" customHeight="1" x14ac:dyDescent="0.25"/>
    <row r="504" s="13" customFormat="1" ht="17.25" customHeight="1" x14ac:dyDescent="0.25"/>
    <row r="505" s="13" customFormat="1" ht="17.25" customHeight="1" x14ac:dyDescent="0.25"/>
    <row r="506" s="13" customFormat="1" ht="17.25" customHeight="1" x14ac:dyDescent="0.25"/>
    <row r="507" s="13" customFormat="1" ht="17.25" customHeight="1" x14ac:dyDescent="0.25"/>
    <row r="508" s="13" customFormat="1" ht="17.25" customHeight="1" x14ac:dyDescent="0.25"/>
    <row r="509" s="13" customFormat="1" ht="17.25" customHeight="1" x14ac:dyDescent="0.25"/>
    <row r="510" s="13" customFormat="1" ht="17.25" customHeight="1" x14ac:dyDescent="0.25"/>
    <row r="511" s="13" customFormat="1" ht="17.25" customHeight="1" x14ac:dyDescent="0.25"/>
    <row r="512" s="13" customFormat="1" ht="17.25" customHeight="1" x14ac:dyDescent="0.25"/>
    <row r="513" s="13" customFormat="1" ht="17.25" customHeight="1" x14ac:dyDescent="0.25"/>
    <row r="514" s="13" customFormat="1" ht="17.25" customHeight="1" x14ac:dyDescent="0.25"/>
    <row r="515" s="13" customFormat="1" ht="17.25" customHeight="1" x14ac:dyDescent="0.25"/>
    <row r="516" s="13" customFormat="1" ht="17.25" customHeight="1" x14ac:dyDescent="0.25"/>
    <row r="517" s="13" customFormat="1" ht="17.25" customHeight="1" x14ac:dyDescent="0.25"/>
    <row r="518" s="13" customFormat="1" ht="17.25" customHeight="1" x14ac:dyDescent="0.25"/>
    <row r="519" s="13" customFormat="1" ht="17.25" customHeight="1" x14ac:dyDescent="0.25"/>
    <row r="520" s="13" customFormat="1" ht="17.25" customHeight="1" x14ac:dyDescent="0.25"/>
    <row r="521" s="13" customFormat="1" ht="17.25" customHeight="1" x14ac:dyDescent="0.25"/>
    <row r="522" s="13" customFormat="1" ht="17.25" customHeight="1" x14ac:dyDescent="0.25"/>
    <row r="523" s="13" customFormat="1" ht="17.25" customHeight="1" x14ac:dyDescent="0.25"/>
    <row r="524" s="13" customFormat="1" ht="17.25" customHeight="1" x14ac:dyDescent="0.25"/>
    <row r="525" s="13" customFormat="1" ht="17.25" customHeight="1" x14ac:dyDescent="0.25"/>
    <row r="526" s="13" customFormat="1" ht="17.25" customHeight="1" x14ac:dyDescent="0.25"/>
    <row r="527" s="13" customFormat="1" ht="17.25" customHeight="1" x14ac:dyDescent="0.25"/>
    <row r="528" s="13" customFormat="1" ht="17.25" customHeight="1" x14ac:dyDescent="0.25"/>
    <row r="529" s="13" customFormat="1" ht="17.25" customHeight="1" x14ac:dyDescent="0.25"/>
    <row r="530" s="13" customFormat="1" ht="17.25" customHeight="1" x14ac:dyDescent="0.25"/>
    <row r="531" s="13" customFormat="1" ht="17.25" customHeight="1" x14ac:dyDescent="0.25"/>
    <row r="532" s="13" customFormat="1" ht="17.25" customHeight="1" x14ac:dyDescent="0.25"/>
    <row r="533" s="13" customFormat="1" ht="17.25" customHeight="1" x14ac:dyDescent="0.25"/>
    <row r="534" s="13" customFormat="1" ht="17.25" customHeight="1" x14ac:dyDescent="0.25"/>
    <row r="535" s="13" customFormat="1" ht="17.25" customHeight="1" x14ac:dyDescent="0.25"/>
    <row r="536" s="13" customFormat="1" ht="17.25" customHeight="1" x14ac:dyDescent="0.25"/>
    <row r="537" s="13" customFormat="1" ht="17.25" customHeight="1" x14ac:dyDescent="0.25"/>
    <row r="538" s="13" customFormat="1" ht="17.25" customHeight="1" x14ac:dyDescent="0.25"/>
    <row r="539" s="13" customFormat="1" ht="17.25" customHeight="1" x14ac:dyDescent="0.25"/>
    <row r="540" s="13" customFormat="1" ht="17.25" customHeight="1" x14ac:dyDescent="0.25"/>
    <row r="541" s="13" customFormat="1" ht="17.25" customHeight="1" x14ac:dyDescent="0.25"/>
    <row r="542" s="13" customFormat="1" ht="17.25" customHeight="1" x14ac:dyDescent="0.25"/>
    <row r="543" s="13" customFormat="1" ht="17.25" customHeight="1" x14ac:dyDescent="0.25"/>
    <row r="544" s="13" customFormat="1" ht="17.25" customHeight="1" x14ac:dyDescent="0.25"/>
    <row r="545" s="13" customFormat="1" ht="17.25" customHeight="1" x14ac:dyDescent="0.25"/>
    <row r="546" s="13" customFormat="1" ht="17.25" customHeight="1" x14ac:dyDescent="0.25"/>
    <row r="547" s="13" customFormat="1" ht="17.25" customHeight="1" x14ac:dyDescent="0.25"/>
    <row r="548" s="13" customFormat="1" ht="17.25" customHeight="1" x14ac:dyDescent="0.25"/>
    <row r="549" s="13" customFormat="1" ht="17.25" customHeight="1" x14ac:dyDescent="0.25"/>
    <row r="550" s="13" customFormat="1" ht="17.25" customHeight="1" x14ac:dyDescent="0.25"/>
    <row r="551" s="13" customFormat="1" ht="17.25" customHeight="1" x14ac:dyDescent="0.25"/>
    <row r="552" s="13" customFormat="1" ht="17.25" customHeight="1" x14ac:dyDescent="0.25"/>
    <row r="553" s="13" customFormat="1" ht="17.25" customHeight="1" x14ac:dyDescent="0.25"/>
    <row r="554" s="13" customFormat="1" ht="17.25" customHeight="1" x14ac:dyDescent="0.25"/>
    <row r="555" s="13" customFormat="1" ht="17.25" customHeight="1" x14ac:dyDescent="0.25"/>
    <row r="556" s="13" customFormat="1" ht="17.25" customHeight="1" x14ac:dyDescent="0.25"/>
    <row r="557" s="13" customFormat="1" ht="17.25" customHeight="1" x14ac:dyDescent="0.25"/>
    <row r="558" s="13" customFormat="1" ht="17.25" customHeight="1" x14ac:dyDescent="0.25"/>
    <row r="559" s="13" customFormat="1" ht="17.25" customHeight="1" x14ac:dyDescent="0.25"/>
    <row r="560" s="13" customFormat="1" ht="17.25" customHeight="1" x14ac:dyDescent="0.25"/>
    <row r="561" s="13" customFormat="1" ht="17.25" customHeight="1" x14ac:dyDescent="0.25"/>
    <row r="562" s="13" customFormat="1" ht="17.25" customHeight="1" x14ac:dyDescent="0.25"/>
    <row r="563" s="13" customFormat="1" ht="17.25" customHeight="1" x14ac:dyDescent="0.25"/>
    <row r="564" s="13" customFormat="1" ht="17.25" customHeight="1" x14ac:dyDescent="0.25"/>
    <row r="565" s="13" customFormat="1" ht="17.25" customHeight="1" x14ac:dyDescent="0.25"/>
    <row r="566" s="13" customFormat="1" ht="17.25" customHeight="1" x14ac:dyDescent="0.25"/>
    <row r="567" s="13" customFormat="1" ht="17.25" customHeight="1" x14ac:dyDescent="0.25"/>
    <row r="568" s="13" customFormat="1" ht="17.25" customHeight="1" x14ac:dyDescent="0.25"/>
    <row r="569" s="13" customFormat="1" ht="17.25" customHeight="1" x14ac:dyDescent="0.25"/>
    <row r="570" s="13" customFormat="1" ht="17.25" customHeight="1" x14ac:dyDescent="0.25"/>
    <row r="571" s="13" customFormat="1" ht="17.25" customHeight="1" x14ac:dyDescent="0.25"/>
    <row r="572" s="13" customFormat="1" ht="17.25" customHeight="1" x14ac:dyDescent="0.25"/>
    <row r="573" s="13" customFormat="1" ht="17.25" customHeight="1" x14ac:dyDescent="0.25"/>
    <row r="574" s="13" customFormat="1" ht="17.25" customHeight="1" x14ac:dyDescent="0.25"/>
    <row r="575" s="13" customFormat="1" ht="17.25" customHeight="1" x14ac:dyDescent="0.25"/>
    <row r="576" s="13" customFormat="1" ht="17.25" customHeight="1" x14ac:dyDescent="0.25"/>
    <row r="577" s="13" customFormat="1" ht="17.25" customHeight="1" x14ac:dyDescent="0.25"/>
    <row r="578" s="13" customFormat="1" ht="17.25" customHeight="1" x14ac:dyDescent="0.25"/>
    <row r="579" s="13" customFormat="1" ht="17.25" customHeight="1" x14ac:dyDescent="0.25"/>
    <row r="580" s="13" customFormat="1" ht="17.25" customHeight="1" x14ac:dyDescent="0.25"/>
    <row r="581" s="13" customFormat="1" ht="17.25" customHeight="1" x14ac:dyDescent="0.25"/>
    <row r="582" s="13" customFormat="1" ht="17.25" customHeight="1" x14ac:dyDescent="0.25"/>
    <row r="583" s="13" customFormat="1" ht="17.25" customHeight="1" x14ac:dyDescent="0.25"/>
    <row r="584" s="13" customFormat="1" ht="17.25" customHeight="1" x14ac:dyDescent="0.25"/>
    <row r="585" s="13" customFormat="1" ht="17.25" customHeight="1" x14ac:dyDescent="0.25"/>
    <row r="586" s="13" customFormat="1" ht="17.25" customHeight="1" x14ac:dyDescent="0.25"/>
    <row r="587" s="13" customFormat="1" ht="17.25" customHeight="1" x14ac:dyDescent="0.25"/>
    <row r="588" s="13" customFormat="1" ht="17.25" customHeight="1" x14ac:dyDescent="0.25"/>
    <row r="589" s="13" customFormat="1" ht="17.25" customHeight="1" x14ac:dyDescent="0.25"/>
    <row r="590" s="13" customFormat="1" ht="17.25" customHeight="1" x14ac:dyDescent="0.25"/>
    <row r="591" s="13" customFormat="1" ht="17.25" customHeight="1" x14ac:dyDescent="0.25"/>
    <row r="592" s="13" customFormat="1" ht="17.25" customHeight="1" x14ac:dyDescent="0.25"/>
    <row r="593" s="13" customFormat="1" ht="17.25" customHeight="1" x14ac:dyDescent="0.25"/>
    <row r="594" s="13" customFormat="1" ht="17.25" customHeight="1" x14ac:dyDescent="0.25"/>
    <row r="595" s="13" customFormat="1" ht="17.25" customHeight="1" x14ac:dyDescent="0.25"/>
    <row r="596" s="13" customFormat="1" ht="17.25" customHeight="1" x14ac:dyDescent="0.25"/>
    <row r="597" s="13" customFormat="1" ht="17.25" customHeight="1" x14ac:dyDescent="0.25"/>
    <row r="598" s="13" customFormat="1" ht="17.25" customHeight="1" x14ac:dyDescent="0.25"/>
    <row r="599" s="13" customFormat="1" ht="17.25" customHeight="1" x14ac:dyDescent="0.25"/>
    <row r="600" s="13" customFormat="1" ht="17.25" customHeight="1" x14ac:dyDescent="0.25"/>
    <row r="601" s="13" customFormat="1" ht="17.25" customHeight="1" x14ac:dyDescent="0.25"/>
    <row r="602" s="13" customFormat="1" ht="17.25" customHeight="1" x14ac:dyDescent="0.25"/>
    <row r="603" s="13" customFormat="1" ht="17.25" customHeight="1" x14ac:dyDescent="0.25"/>
    <row r="604" s="13" customFormat="1" ht="17.25" customHeight="1" x14ac:dyDescent="0.25"/>
    <row r="605" s="13" customFormat="1" ht="17.25" customHeight="1" x14ac:dyDescent="0.25"/>
    <row r="606" s="13" customFormat="1" ht="17.25" customHeight="1" x14ac:dyDescent="0.25"/>
    <row r="607" s="13" customFormat="1" ht="17.25" customHeight="1" x14ac:dyDescent="0.25"/>
    <row r="608" s="13" customFormat="1" ht="17.25" customHeight="1" x14ac:dyDescent="0.25"/>
    <row r="609" s="13" customFormat="1" ht="17.25" customHeight="1" x14ac:dyDescent="0.25"/>
    <row r="610" s="13" customFormat="1" ht="17.25" customHeight="1" x14ac:dyDescent="0.25"/>
    <row r="611" s="13" customFormat="1" ht="17.25" customHeight="1" x14ac:dyDescent="0.25"/>
    <row r="612" s="13" customFormat="1" ht="17.25" customHeight="1" x14ac:dyDescent="0.25"/>
    <row r="613" s="13" customFormat="1" ht="17.25" customHeight="1" x14ac:dyDescent="0.25"/>
    <row r="614" s="13" customFormat="1" ht="17.25" customHeight="1" x14ac:dyDescent="0.25"/>
    <row r="615" s="13" customFormat="1" ht="17.25" customHeight="1" x14ac:dyDescent="0.25"/>
    <row r="616" s="13" customFormat="1" ht="17.25" customHeight="1" x14ac:dyDescent="0.25"/>
    <row r="617" s="13" customFormat="1" ht="17.25" customHeight="1" x14ac:dyDescent="0.25"/>
    <row r="618" s="13" customFormat="1" ht="17.25" customHeight="1" x14ac:dyDescent="0.25"/>
    <row r="619" s="13" customFormat="1" ht="17.25" customHeight="1" x14ac:dyDescent="0.25"/>
    <row r="620" s="13" customFormat="1" ht="17.25" customHeight="1" x14ac:dyDescent="0.25"/>
    <row r="621" s="13" customFormat="1" ht="17.25" customHeight="1" x14ac:dyDescent="0.25"/>
    <row r="622" s="13" customFormat="1" ht="17.25" customHeight="1" x14ac:dyDescent="0.25"/>
    <row r="623" s="13" customFormat="1" ht="17.25" customHeight="1" x14ac:dyDescent="0.25"/>
    <row r="624" s="13" customFormat="1" ht="17.25" customHeight="1" x14ac:dyDescent="0.25"/>
    <row r="625" s="13" customFormat="1" ht="17.25" customHeight="1" x14ac:dyDescent="0.25"/>
    <row r="626" s="13" customFormat="1" ht="17.25" customHeight="1" x14ac:dyDescent="0.25"/>
    <row r="627" s="13" customFormat="1" ht="17.25" customHeight="1" x14ac:dyDescent="0.25"/>
    <row r="628" s="13" customFormat="1" ht="17.25" customHeight="1" x14ac:dyDescent="0.25"/>
    <row r="629" s="13" customFormat="1" ht="17.25" customHeight="1" x14ac:dyDescent="0.25"/>
    <row r="630" s="13" customFormat="1" ht="17.25" customHeight="1" x14ac:dyDescent="0.25"/>
    <row r="631" s="13" customFormat="1" ht="17.25" customHeight="1" x14ac:dyDescent="0.25"/>
    <row r="632" s="13" customFormat="1" ht="17.25" customHeight="1" x14ac:dyDescent="0.25"/>
    <row r="633" s="13" customFormat="1" ht="17.25" customHeight="1" x14ac:dyDescent="0.25"/>
    <row r="634" s="13" customFormat="1" ht="17.25" customHeight="1" x14ac:dyDescent="0.25"/>
    <row r="635" s="13" customFormat="1" ht="17.25" customHeight="1" x14ac:dyDescent="0.25"/>
    <row r="636" s="13" customFormat="1" ht="17.25" customHeight="1" x14ac:dyDescent="0.25"/>
    <row r="637" s="13" customFormat="1" ht="17.25" customHeight="1" x14ac:dyDescent="0.25"/>
    <row r="638" s="13" customFormat="1" ht="17.25" customHeight="1" x14ac:dyDescent="0.25"/>
    <row r="639" s="13" customFormat="1" ht="17.25" customHeight="1" x14ac:dyDescent="0.25"/>
    <row r="640" s="13" customFormat="1" ht="17.25" customHeight="1" x14ac:dyDescent="0.25"/>
    <row r="641" s="13" customFormat="1" ht="17.25" customHeight="1" x14ac:dyDescent="0.25"/>
    <row r="642" s="13" customFormat="1" ht="17.25" customHeight="1" x14ac:dyDescent="0.25"/>
    <row r="643" s="13" customFormat="1" ht="17.25" customHeight="1" x14ac:dyDescent="0.25"/>
    <row r="644" s="13" customFormat="1" ht="17.25" customHeight="1" x14ac:dyDescent="0.25"/>
    <row r="645" s="13" customFormat="1" ht="17.25" customHeight="1" x14ac:dyDescent="0.25"/>
    <row r="646" s="13" customFormat="1" ht="17.25" customHeight="1" x14ac:dyDescent="0.25"/>
    <row r="647" s="13" customFormat="1" ht="17.25" customHeight="1" x14ac:dyDescent="0.25"/>
    <row r="648" s="13" customFormat="1" ht="17.25" customHeight="1" x14ac:dyDescent="0.25"/>
    <row r="649" s="13" customFormat="1" ht="17.25" customHeight="1" x14ac:dyDescent="0.25"/>
    <row r="650" s="13" customFormat="1" ht="17.25" customHeight="1" x14ac:dyDescent="0.25"/>
    <row r="651" s="13" customFormat="1" ht="17.25" customHeight="1" x14ac:dyDescent="0.25"/>
    <row r="652" s="13" customFormat="1" ht="17.25" customHeight="1" x14ac:dyDescent="0.25"/>
    <row r="653" s="13" customFormat="1" ht="17.25" customHeight="1" x14ac:dyDescent="0.25"/>
    <row r="654" s="13" customFormat="1" ht="17.25" customHeight="1" x14ac:dyDescent="0.25"/>
    <row r="655" s="13" customFormat="1" ht="17.25" customHeight="1" x14ac:dyDescent="0.25"/>
    <row r="656" s="13" customFormat="1" ht="17.25" customHeight="1" x14ac:dyDescent="0.25"/>
    <row r="657" s="13" customFormat="1" ht="17.25" customHeight="1" x14ac:dyDescent="0.25"/>
    <row r="658" s="13" customFormat="1" ht="17.25" customHeight="1" x14ac:dyDescent="0.25"/>
    <row r="659" s="13" customFormat="1" ht="17.25" customHeight="1" x14ac:dyDescent="0.25"/>
    <row r="660" s="13" customFormat="1" ht="17.25" customHeight="1" x14ac:dyDescent="0.25"/>
    <row r="661" s="13" customFormat="1" ht="17.25" customHeight="1" x14ac:dyDescent="0.25"/>
    <row r="662" s="13" customFormat="1" ht="17.25" customHeight="1" x14ac:dyDescent="0.25"/>
    <row r="663" s="13" customFormat="1" ht="17.25" customHeight="1" x14ac:dyDescent="0.25"/>
    <row r="664" s="13" customFormat="1" ht="17.25" customHeight="1" x14ac:dyDescent="0.25"/>
    <row r="665" s="13" customFormat="1" ht="17.25" customHeight="1" x14ac:dyDescent="0.25"/>
    <row r="666" s="13" customFormat="1" ht="17.25" customHeight="1" x14ac:dyDescent="0.25"/>
    <row r="667" s="13" customFormat="1" ht="17.25" customHeight="1" x14ac:dyDescent="0.25"/>
    <row r="668" s="13" customFormat="1" ht="17.25" customHeight="1" x14ac:dyDescent="0.25"/>
    <row r="669" s="13" customFormat="1" ht="17.25" customHeight="1" x14ac:dyDescent="0.25"/>
    <row r="670" s="13" customFormat="1" ht="17.25" customHeight="1" x14ac:dyDescent="0.25"/>
    <row r="671" s="13" customFormat="1" ht="17.25" customHeight="1" x14ac:dyDescent="0.25"/>
    <row r="672" s="13" customFormat="1" ht="17.25" customHeight="1" x14ac:dyDescent="0.25"/>
    <row r="673" s="13" customFormat="1" ht="17.25" customHeight="1" x14ac:dyDescent="0.25"/>
    <row r="674" s="13" customFormat="1" ht="17.25" customHeight="1" x14ac:dyDescent="0.25"/>
    <row r="675" s="13" customFormat="1" ht="17.25" customHeight="1" x14ac:dyDescent="0.25"/>
    <row r="676" s="13" customFormat="1" ht="17.25" customHeight="1" x14ac:dyDescent="0.25"/>
    <row r="677" s="13" customFormat="1" ht="17.25" customHeight="1" x14ac:dyDescent="0.25"/>
    <row r="678" s="13" customFormat="1" ht="17.25" customHeight="1" x14ac:dyDescent="0.25"/>
    <row r="679" s="13" customFormat="1" ht="17.25" customHeight="1" x14ac:dyDescent="0.25"/>
    <row r="680" s="13" customFormat="1" ht="17.25" customHeight="1" x14ac:dyDescent="0.25"/>
    <row r="681" s="13" customFormat="1" ht="17.25" customHeight="1" x14ac:dyDescent="0.25"/>
    <row r="682" s="13" customFormat="1" ht="17.25" customHeight="1" x14ac:dyDescent="0.25"/>
    <row r="683" s="13" customFormat="1" ht="17.25" customHeight="1" x14ac:dyDescent="0.25"/>
    <row r="684" s="13" customFormat="1" ht="17.25" customHeight="1" x14ac:dyDescent="0.25"/>
    <row r="685" s="13" customFormat="1" ht="17.25" customHeight="1" x14ac:dyDescent="0.25"/>
    <row r="686" s="13" customFormat="1" ht="17.25" customHeight="1" x14ac:dyDescent="0.25"/>
    <row r="687" s="13" customFormat="1" ht="17.25" customHeight="1" x14ac:dyDescent="0.25"/>
    <row r="688" s="13" customFormat="1" ht="17.25" customHeight="1" x14ac:dyDescent="0.25"/>
    <row r="689" s="13" customFormat="1" ht="17.25" customHeight="1" x14ac:dyDescent="0.25"/>
    <row r="690" s="13" customFormat="1" ht="17.25" customHeight="1" x14ac:dyDescent="0.25"/>
    <row r="691" s="13" customFormat="1" ht="17.25" customHeight="1" x14ac:dyDescent="0.25"/>
    <row r="692" s="13" customFormat="1" ht="17.25" customHeight="1" x14ac:dyDescent="0.25"/>
    <row r="693" s="13" customFormat="1" ht="17.25" customHeight="1" x14ac:dyDescent="0.25"/>
    <row r="694" s="13" customFormat="1" ht="17.25" customHeight="1" x14ac:dyDescent="0.25"/>
    <row r="695" s="13" customFormat="1" ht="17.25" customHeight="1" x14ac:dyDescent="0.25"/>
    <row r="696" s="13" customFormat="1" ht="17.25" customHeight="1" x14ac:dyDescent="0.25"/>
    <row r="697" s="13" customFormat="1" ht="17.25" customHeight="1" x14ac:dyDescent="0.25"/>
    <row r="698" s="13" customFormat="1" ht="17.25" customHeight="1" x14ac:dyDescent="0.25"/>
    <row r="699" s="13" customFormat="1" ht="17.25" customHeight="1" x14ac:dyDescent="0.25"/>
    <row r="700" s="13" customFormat="1" ht="17.25" customHeight="1" x14ac:dyDescent="0.25"/>
    <row r="701" s="13" customFormat="1" ht="17.25" customHeight="1" x14ac:dyDescent="0.25"/>
    <row r="702" s="13" customFormat="1" ht="17.25" customHeight="1" x14ac:dyDescent="0.25"/>
    <row r="703" s="13" customFormat="1" ht="17.25" customHeight="1" x14ac:dyDescent="0.25"/>
    <row r="704" s="13" customFormat="1" ht="17.25" customHeight="1" x14ac:dyDescent="0.25"/>
    <row r="705" s="13" customFormat="1" ht="17.25" customHeight="1" x14ac:dyDescent="0.25"/>
    <row r="706" s="13" customFormat="1" ht="17.25" customHeight="1" x14ac:dyDescent="0.25"/>
    <row r="707" s="13" customFormat="1" ht="17.25" customHeight="1" x14ac:dyDescent="0.25"/>
    <row r="708" s="13" customFormat="1" ht="17.25" customHeight="1" x14ac:dyDescent="0.25"/>
    <row r="709" s="13" customFormat="1" ht="17.25" customHeight="1" x14ac:dyDescent="0.25"/>
    <row r="710" s="13" customFormat="1" ht="17.25" customHeight="1" x14ac:dyDescent="0.25"/>
    <row r="711" s="13" customFormat="1" ht="17.25" customHeight="1" x14ac:dyDescent="0.25"/>
    <row r="712" s="13" customFormat="1" ht="17.25" customHeight="1" x14ac:dyDescent="0.25"/>
    <row r="713" s="13" customFormat="1" ht="17.25" customHeight="1" x14ac:dyDescent="0.25"/>
    <row r="714" s="13" customFormat="1" ht="17.25" customHeight="1" x14ac:dyDescent="0.25"/>
    <row r="715" s="13" customFormat="1" ht="17.25" customHeight="1" x14ac:dyDescent="0.25"/>
    <row r="716" s="13" customFormat="1" ht="17.25" customHeight="1" x14ac:dyDescent="0.25"/>
    <row r="717" s="13" customFormat="1" ht="17.25" customHeight="1" x14ac:dyDescent="0.25"/>
    <row r="718" s="13" customFormat="1" ht="17.25" customHeight="1" x14ac:dyDescent="0.25"/>
    <row r="719" s="13" customFormat="1" ht="17.25" customHeight="1" x14ac:dyDescent="0.25"/>
    <row r="720" s="13" customFormat="1" ht="17.25" customHeight="1" x14ac:dyDescent="0.25"/>
    <row r="721" s="13" customFormat="1" ht="17.25" customHeight="1" x14ac:dyDescent="0.25"/>
    <row r="722" s="13" customFormat="1" ht="17.25" customHeight="1" x14ac:dyDescent="0.25"/>
    <row r="723" s="13" customFormat="1" ht="17.25" customHeight="1" x14ac:dyDescent="0.25"/>
    <row r="724" s="13" customFormat="1" ht="17.25" customHeight="1" x14ac:dyDescent="0.25"/>
    <row r="725" s="13" customFormat="1" ht="17.25" customHeight="1" x14ac:dyDescent="0.25"/>
    <row r="726" s="13" customFormat="1" ht="17.25" customHeight="1" x14ac:dyDescent="0.25"/>
    <row r="727" s="13" customFormat="1" ht="17.25" customHeight="1" x14ac:dyDescent="0.25"/>
    <row r="728" s="13" customFormat="1" ht="17.25" customHeight="1" x14ac:dyDescent="0.25"/>
    <row r="729" s="13" customFormat="1" ht="17.25" customHeight="1" x14ac:dyDescent="0.25"/>
    <row r="730" s="13" customFormat="1" ht="17.25" customHeight="1" x14ac:dyDescent="0.25"/>
    <row r="731" s="13" customFormat="1" ht="17.25" customHeight="1" x14ac:dyDescent="0.25"/>
    <row r="732" s="13" customFormat="1" ht="17.25" customHeight="1" x14ac:dyDescent="0.25"/>
    <row r="733" s="13" customFormat="1" ht="17.25" customHeight="1" x14ac:dyDescent="0.25"/>
    <row r="734" s="13" customFormat="1" ht="17.25" customHeight="1" x14ac:dyDescent="0.25"/>
    <row r="735" s="13" customFormat="1" ht="17.25" customHeight="1" x14ac:dyDescent="0.25"/>
    <row r="736" s="13" customFormat="1" ht="17.25" customHeight="1" x14ac:dyDescent="0.25"/>
    <row r="737" s="13" customFormat="1" ht="17.25" customHeight="1" x14ac:dyDescent="0.25"/>
    <row r="738" s="13" customFormat="1" ht="17.25" customHeight="1" x14ac:dyDescent="0.25"/>
    <row r="739" s="13" customFormat="1" ht="17.25" customHeight="1" x14ac:dyDescent="0.25"/>
    <row r="740" s="13" customFormat="1" ht="17.25" customHeight="1" x14ac:dyDescent="0.25"/>
    <row r="741" s="13" customFormat="1" ht="17.25" customHeight="1" x14ac:dyDescent="0.25"/>
    <row r="742" s="13" customFormat="1" ht="17.25" customHeight="1" x14ac:dyDescent="0.25"/>
    <row r="743" s="13" customFormat="1" ht="17.25" customHeight="1" x14ac:dyDescent="0.25"/>
    <row r="744" s="13" customFormat="1" ht="17.25" customHeight="1" x14ac:dyDescent="0.25"/>
    <row r="745" s="13" customFormat="1" ht="17.25" customHeight="1" x14ac:dyDescent="0.25"/>
    <row r="746" s="13" customFormat="1" ht="17.25" customHeight="1" x14ac:dyDescent="0.25"/>
    <row r="747" s="13" customFormat="1" ht="17.25" customHeight="1" x14ac:dyDescent="0.25"/>
    <row r="748" s="13" customFormat="1" ht="17.25" customHeight="1" x14ac:dyDescent="0.25"/>
  </sheetData>
  <autoFilter ref="A1:C37" xr:uid="{00000000-0009-0000-0000-000006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6"/>
  </sheetPr>
  <dimension ref="A1:K2745"/>
  <sheetViews>
    <sheetView workbookViewId="0">
      <selection activeCell="E13" sqref="E13"/>
    </sheetView>
  </sheetViews>
  <sheetFormatPr defaultRowHeight="15" x14ac:dyDescent="0.25"/>
  <cols>
    <col min="3" max="4" width="15.625" customWidth="1"/>
    <col min="6" max="6" width="15.625" customWidth="1"/>
  </cols>
  <sheetData>
    <row r="1" spans="1:11" s="13" customFormat="1" ht="18" customHeight="1" x14ac:dyDescent="0.25">
      <c r="A1" s="35" t="s">
        <v>1468</v>
      </c>
      <c r="B1" s="35" t="s">
        <v>1469</v>
      </c>
      <c r="C1" s="35" t="s">
        <v>1470</v>
      </c>
      <c r="D1" s="35" t="s">
        <v>1471</v>
      </c>
      <c r="E1" s="35" t="s">
        <v>1463</v>
      </c>
      <c r="F1" s="35" t="s">
        <v>1467</v>
      </c>
    </row>
    <row r="2" spans="1:11" s="13" customFormat="1" ht="18" customHeight="1" x14ac:dyDescent="0.25">
      <c r="A2" s="13">
        <v>1</v>
      </c>
      <c r="B2" s="13">
        <v>3</v>
      </c>
      <c r="C2" s="13" t="s">
        <v>1455</v>
      </c>
      <c r="E2" s="13">
        <v>1.5789999999999999E-20</v>
      </c>
      <c r="F2" s="13" t="s">
        <v>1475</v>
      </c>
      <c r="G2" s="13">
        <f>E2*10^18</f>
        <v>1.5789999999999998E-2</v>
      </c>
      <c r="I2" s="13">
        <v>0</v>
      </c>
      <c r="J2" s="13">
        <f>I2+0.1</f>
        <v>0.1</v>
      </c>
      <c r="K2" s="13">
        <f>COUNTIFS(E:E,"&gt;="&amp;I2,E:E,"&lt;"&amp;J2)</f>
        <v>104</v>
      </c>
    </row>
    <row r="3" spans="1:11" s="13" customFormat="1" ht="18" customHeight="1" x14ac:dyDescent="0.25">
      <c r="A3" s="13">
        <v>1</v>
      </c>
      <c r="B3" s="13">
        <v>4</v>
      </c>
      <c r="C3" s="13" t="s">
        <v>1455</v>
      </c>
      <c r="E3" s="13">
        <v>1.5789999999999999E-20</v>
      </c>
      <c r="F3" s="13" t="s">
        <v>1475</v>
      </c>
      <c r="G3" s="13">
        <f t="shared" ref="G3:G66" si="0">E3*10^18</f>
        <v>1.5789999999999998E-2</v>
      </c>
      <c r="I3" s="13">
        <f>J2</f>
        <v>0.1</v>
      </c>
      <c r="J3" s="13">
        <f>I3+0.1</f>
        <v>0.2</v>
      </c>
      <c r="K3" s="13">
        <f t="shared" ref="K3:K11" si="1">COUNTIFS(E:E,"&gt;="&amp;I3,E:E,"&lt;"&amp;J3)</f>
        <v>0</v>
      </c>
    </row>
    <row r="4" spans="1:11" s="13" customFormat="1" ht="18" customHeight="1" x14ac:dyDescent="0.25">
      <c r="A4" s="13">
        <v>1</v>
      </c>
      <c r="B4" s="13">
        <v>7</v>
      </c>
      <c r="C4" s="13" t="s">
        <v>1455</v>
      </c>
      <c r="E4" s="13">
        <v>4.7259999999999999E-15</v>
      </c>
      <c r="F4" s="13" t="s">
        <v>1478</v>
      </c>
      <c r="G4" s="13">
        <f t="shared" si="0"/>
        <v>4726</v>
      </c>
      <c r="I4" s="13">
        <f t="shared" ref="I4:I11" si="2">J3</f>
        <v>0.2</v>
      </c>
      <c r="J4" s="13">
        <f t="shared" ref="J4:J11" si="3">I4+0.1</f>
        <v>0.30000000000000004</v>
      </c>
      <c r="K4" s="13">
        <f t="shared" si="1"/>
        <v>0</v>
      </c>
    </row>
    <row r="5" spans="1:11" s="13" customFormat="1" ht="18" customHeight="1" x14ac:dyDescent="0.25">
      <c r="A5" s="13">
        <v>1</v>
      </c>
      <c r="B5" s="13">
        <v>10</v>
      </c>
      <c r="C5" s="13" t="s">
        <v>1455</v>
      </c>
      <c r="E5" s="13">
        <v>6.5827878000000002E-15</v>
      </c>
      <c r="F5" s="13" t="s">
        <v>1479</v>
      </c>
      <c r="G5" s="13">
        <f t="shared" si="0"/>
        <v>6582.7878000000001</v>
      </c>
      <c r="I5" s="13">
        <f t="shared" si="2"/>
        <v>0.30000000000000004</v>
      </c>
      <c r="J5" s="13">
        <f t="shared" si="3"/>
        <v>0.4</v>
      </c>
      <c r="K5" s="13">
        <f t="shared" si="1"/>
        <v>0</v>
      </c>
    </row>
    <row r="6" spans="1:11" s="13" customFormat="1" ht="18" customHeight="1" x14ac:dyDescent="0.25">
      <c r="A6" s="13">
        <v>1</v>
      </c>
      <c r="B6" s="13">
        <v>13</v>
      </c>
      <c r="C6" s="13" t="s">
        <v>1455</v>
      </c>
      <c r="E6" s="13">
        <v>3.6310000000000002E-18</v>
      </c>
      <c r="F6" s="13" t="s">
        <v>1476</v>
      </c>
      <c r="G6" s="13">
        <f t="shared" si="0"/>
        <v>3.6310000000000002</v>
      </c>
      <c r="I6" s="13">
        <f t="shared" si="2"/>
        <v>0.4</v>
      </c>
      <c r="J6" s="13">
        <f t="shared" si="3"/>
        <v>0.5</v>
      </c>
      <c r="K6" s="13">
        <f t="shared" si="1"/>
        <v>0</v>
      </c>
    </row>
    <row r="7" spans="1:11" s="13" customFormat="1" ht="18" customHeight="1" x14ac:dyDescent="0.25">
      <c r="A7" s="13">
        <v>1</v>
      </c>
      <c r="B7" s="13">
        <v>16</v>
      </c>
      <c r="C7" s="13" t="s">
        <v>1455</v>
      </c>
      <c r="E7" s="13">
        <v>5.5010847000000014E-18</v>
      </c>
      <c r="F7" s="13" t="s">
        <v>1476</v>
      </c>
      <c r="G7" s="13">
        <f t="shared" si="0"/>
        <v>5.5010847000000016</v>
      </c>
      <c r="I7" s="13">
        <f t="shared" si="2"/>
        <v>0.5</v>
      </c>
      <c r="J7" s="13">
        <f t="shared" si="3"/>
        <v>0.6</v>
      </c>
      <c r="K7" s="13">
        <f t="shared" si="1"/>
        <v>0</v>
      </c>
    </row>
    <row r="8" spans="1:11" s="13" customFormat="1" ht="18" customHeight="1" x14ac:dyDescent="0.25">
      <c r="A8" s="13">
        <v>1</v>
      </c>
      <c r="B8" s="13">
        <v>19</v>
      </c>
      <c r="C8" s="13" t="s">
        <v>1455</v>
      </c>
      <c r="E8" s="13">
        <v>3.273E-23</v>
      </c>
      <c r="F8" s="13" t="s">
        <v>1477</v>
      </c>
      <c r="G8" s="13">
        <f t="shared" si="0"/>
        <v>3.273E-5</v>
      </c>
      <c r="I8" s="13">
        <f t="shared" si="2"/>
        <v>0.6</v>
      </c>
      <c r="J8" s="13">
        <f t="shared" si="3"/>
        <v>0.7</v>
      </c>
      <c r="K8" s="13">
        <f t="shared" si="1"/>
        <v>0</v>
      </c>
    </row>
    <row r="9" spans="1:11" s="13" customFormat="1" ht="18" customHeight="1" x14ac:dyDescent="0.25">
      <c r="A9" s="13">
        <v>4</v>
      </c>
      <c r="B9" s="13">
        <v>3</v>
      </c>
      <c r="C9" s="13" t="s">
        <v>1455</v>
      </c>
      <c r="E9" s="13">
        <v>2.424E-16</v>
      </c>
      <c r="F9" s="13" t="s">
        <v>1476</v>
      </c>
      <c r="G9" s="13">
        <f t="shared" si="0"/>
        <v>242.4</v>
      </c>
      <c r="I9" s="13">
        <f t="shared" si="2"/>
        <v>0.7</v>
      </c>
      <c r="J9" s="13">
        <f t="shared" si="3"/>
        <v>0.79999999999999993</v>
      </c>
      <c r="K9" s="13">
        <f t="shared" si="1"/>
        <v>0</v>
      </c>
    </row>
    <row r="10" spans="1:11" s="13" customFormat="1" ht="18" customHeight="1" x14ac:dyDescent="0.25">
      <c r="A10" s="13">
        <v>4</v>
      </c>
      <c r="B10" s="13">
        <v>25</v>
      </c>
      <c r="C10" s="13" t="s">
        <v>1455</v>
      </c>
      <c r="E10" s="13">
        <v>4.0850000000000001E-17</v>
      </c>
      <c r="F10" s="13" t="s">
        <v>1476</v>
      </c>
      <c r="G10" s="13">
        <f t="shared" si="0"/>
        <v>40.85</v>
      </c>
      <c r="I10" s="13">
        <f t="shared" si="2"/>
        <v>0.79999999999999993</v>
      </c>
      <c r="J10" s="13">
        <f t="shared" si="3"/>
        <v>0.89999999999999991</v>
      </c>
      <c r="K10" s="13">
        <f t="shared" si="1"/>
        <v>0</v>
      </c>
    </row>
    <row r="11" spans="1:11" s="13" customFormat="1" ht="18" customHeight="1" x14ac:dyDescent="0.25">
      <c r="A11" s="13">
        <v>4</v>
      </c>
      <c r="B11" s="13">
        <v>28</v>
      </c>
      <c r="C11" s="13" t="s">
        <v>1455</v>
      </c>
      <c r="E11" s="13">
        <v>1.479E-22</v>
      </c>
      <c r="F11" s="13" t="s">
        <v>1477</v>
      </c>
      <c r="G11" s="13">
        <f t="shared" si="0"/>
        <v>1.4790000000000002E-4</v>
      </c>
      <c r="I11" s="13">
        <f t="shared" si="2"/>
        <v>0.89999999999999991</v>
      </c>
      <c r="J11" s="13">
        <f t="shared" si="3"/>
        <v>0.99999999999999989</v>
      </c>
      <c r="K11" s="13">
        <f t="shared" si="1"/>
        <v>0</v>
      </c>
    </row>
    <row r="12" spans="1:11" s="13" customFormat="1" ht="18" customHeight="1" x14ac:dyDescent="0.25">
      <c r="A12" s="13">
        <v>29</v>
      </c>
      <c r="B12" s="13">
        <v>31</v>
      </c>
      <c r="C12" s="13" t="s">
        <v>1455</v>
      </c>
      <c r="E12" s="13">
        <v>1.371E-17</v>
      </c>
      <c r="F12" s="13" t="s">
        <v>1475</v>
      </c>
      <c r="G12" s="13">
        <f t="shared" si="0"/>
        <v>13.71</v>
      </c>
    </row>
    <row r="13" spans="1:11" s="13" customFormat="1" ht="18" customHeight="1" x14ac:dyDescent="0.25">
      <c r="A13" s="13">
        <v>29</v>
      </c>
      <c r="B13" s="13">
        <v>34</v>
      </c>
      <c r="C13" s="13" t="s">
        <v>1455</v>
      </c>
      <c r="E13" s="13">
        <v>4.322E-16</v>
      </c>
      <c r="F13" s="13" t="s">
        <v>1479</v>
      </c>
      <c r="G13" s="13">
        <f t="shared" si="0"/>
        <v>432.2</v>
      </c>
    </row>
    <row r="14" spans="1:11" s="13" customFormat="1" ht="18" customHeight="1" x14ac:dyDescent="0.25">
      <c r="A14" s="13">
        <v>29</v>
      </c>
      <c r="B14" s="13">
        <v>37</v>
      </c>
      <c r="C14" s="13" t="s">
        <v>1455</v>
      </c>
      <c r="E14" s="13">
        <v>2.8669999999999999E-17</v>
      </c>
      <c r="F14" s="13" t="s">
        <v>1478</v>
      </c>
      <c r="G14" s="13">
        <f t="shared" si="0"/>
        <v>28.669999999999998</v>
      </c>
    </row>
    <row r="15" spans="1:11" s="13" customFormat="1" ht="18" customHeight="1" x14ac:dyDescent="0.25">
      <c r="A15" s="13">
        <v>29</v>
      </c>
      <c r="B15" s="13">
        <v>31</v>
      </c>
      <c r="C15" s="13" t="s">
        <v>1455</v>
      </c>
      <c r="E15" s="13">
        <v>0</v>
      </c>
      <c r="F15" s="13" t="s">
        <v>1475</v>
      </c>
      <c r="G15" s="13">
        <f t="shared" si="0"/>
        <v>0</v>
      </c>
    </row>
    <row r="16" spans="1:11" s="13" customFormat="1" ht="18" customHeight="1" x14ac:dyDescent="0.25">
      <c r="A16" s="13">
        <v>29</v>
      </c>
      <c r="B16" s="13">
        <v>41</v>
      </c>
      <c r="C16" s="13" t="s">
        <v>1455</v>
      </c>
      <c r="E16" s="13">
        <v>0</v>
      </c>
      <c r="F16" s="13" t="s">
        <v>1475</v>
      </c>
      <c r="G16" s="13">
        <f t="shared" si="0"/>
        <v>0</v>
      </c>
    </row>
    <row r="17" spans="1:7" s="13" customFormat="1" ht="18" customHeight="1" x14ac:dyDescent="0.25">
      <c r="A17" s="13">
        <v>29</v>
      </c>
      <c r="B17" s="13">
        <v>44</v>
      </c>
      <c r="C17" s="13" t="s">
        <v>1455</v>
      </c>
      <c r="E17" s="13">
        <v>8.2590000000000005E-18</v>
      </c>
      <c r="F17" s="13" t="s">
        <v>1476</v>
      </c>
      <c r="G17" s="13">
        <f t="shared" si="0"/>
        <v>8.2590000000000003</v>
      </c>
    </row>
    <row r="18" spans="1:7" s="13" customFormat="1" ht="18" customHeight="1" x14ac:dyDescent="0.25">
      <c r="A18" s="13">
        <v>29</v>
      </c>
      <c r="B18" s="13">
        <v>47</v>
      </c>
      <c r="C18" s="13" t="s">
        <v>1455</v>
      </c>
      <c r="E18" s="13">
        <v>9.7720000000000001E-18</v>
      </c>
      <c r="F18" s="13" t="s">
        <v>1476</v>
      </c>
      <c r="G18" s="13">
        <f t="shared" si="0"/>
        <v>9.7720000000000002</v>
      </c>
    </row>
    <row r="19" spans="1:7" s="13" customFormat="1" ht="18" customHeight="1" x14ac:dyDescent="0.25">
      <c r="A19" s="13">
        <v>29</v>
      </c>
      <c r="B19" s="13">
        <v>50</v>
      </c>
      <c r="C19" s="13" t="s">
        <v>1455</v>
      </c>
      <c r="E19" s="13">
        <v>1.137E-17</v>
      </c>
      <c r="F19" s="13" t="s">
        <v>1475</v>
      </c>
      <c r="G19" s="13">
        <f t="shared" si="0"/>
        <v>11.370000000000001</v>
      </c>
    </row>
    <row r="20" spans="1:7" s="13" customFormat="1" ht="18" customHeight="1" x14ac:dyDescent="0.25">
      <c r="A20" s="13">
        <v>29</v>
      </c>
      <c r="B20" s="13">
        <v>31</v>
      </c>
      <c r="C20" s="13" t="s">
        <v>1455</v>
      </c>
      <c r="E20" s="13">
        <v>1.137E-17</v>
      </c>
      <c r="F20" s="13" t="s">
        <v>1475</v>
      </c>
      <c r="G20" s="13">
        <f t="shared" si="0"/>
        <v>11.370000000000001</v>
      </c>
    </row>
    <row r="21" spans="1:7" s="13" customFormat="1" ht="18" customHeight="1" x14ac:dyDescent="0.25">
      <c r="A21" s="13">
        <v>29</v>
      </c>
      <c r="B21" s="13">
        <v>50</v>
      </c>
      <c r="C21" s="13" t="s">
        <v>1455</v>
      </c>
      <c r="E21" s="13">
        <v>3.1400000000000001E-21</v>
      </c>
      <c r="F21" s="13" t="s">
        <v>1475</v>
      </c>
      <c r="G21" s="13">
        <f t="shared" si="0"/>
        <v>3.14E-3</v>
      </c>
    </row>
    <row r="22" spans="1:7" s="13" customFormat="1" ht="18" customHeight="1" x14ac:dyDescent="0.25">
      <c r="A22" s="13">
        <v>29</v>
      </c>
      <c r="B22" s="13">
        <v>31</v>
      </c>
      <c r="C22" s="13" t="s">
        <v>1455</v>
      </c>
      <c r="E22" s="13">
        <v>3.1400000000000001E-21</v>
      </c>
      <c r="F22" s="13" t="s">
        <v>1475</v>
      </c>
      <c r="G22" s="13">
        <f t="shared" si="0"/>
        <v>3.14E-3</v>
      </c>
    </row>
    <row r="23" spans="1:7" s="13" customFormat="1" ht="18" customHeight="1" x14ac:dyDescent="0.25">
      <c r="A23" s="13">
        <v>29</v>
      </c>
      <c r="B23" s="13">
        <v>58</v>
      </c>
      <c r="C23" s="13" t="s">
        <v>1455</v>
      </c>
      <c r="E23" s="13">
        <v>5.4080000000000002E-17</v>
      </c>
      <c r="F23" s="13" t="s">
        <v>1476</v>
      </c>
      <c r="G23" s="13">
        <f t="shared" si="0"/>
        <v>54.080000000000005</v>
      </c>
    </row>
    <row r="24" spans="1:7" s="13" customFormat="1" ht="18" customHeight="1" x14ac:dyDescent="0.25">
      <c r="A24" s="13">
        <v>58</v>
      </c>
      <c r="B24" s="13">
        <v>61</v>
      </c>
      <c r="C24" s="13" t="s">
        <v>1455</v>
      </c>
      <c r="E24" s="13">
        <v>5.3000000000000003E-18</v>
      </c>
      <c r="F24" s="13" t="s">
        <v>1475</v>
      </c>
      <c r="G24" s="13">
        <f t="shared" si="0"/>
        <v>5.3000000000000007</v>
      </c>
    </row>
    <row r="25" spans="1:7" s="13" customFormat="1" ht="18" customHeight="1" x14ac:dyDescent="0.25">
      <c r="A25" s="13">
        <v>58</v>
      </c>
      <c r="B25" s="13">
        <v>31</v>
      </c>
      <c r="C25" s="13" t="s">
        <v>1455</v>
      </c>
      <c r="E25" s="13">
        <v>5.3000000000000003E-18</v>
      </c>
      <c r="F25" s="13" t="s">
        <v>1475</v>
      </c>
      <c r="G25" s="13">
        <f t="shared" si="0"/>
        <v>5.3000000000000007</v>
      </c>
    </row>
    <row r="26" spans="1:7" s="13" customFormat="1" ht="18" customHeight="1" x14ac:dyDescent="0.25">
      <c r="A26" s="13">
        <v>58</v>
      </c>
      <c r="B26" s="13">
        <v>44</v>
      </c>
      <c r="C26" s="13" t="s">
        <v>1455</v>
      </c>
      <c r="E26" s="13">
        <v>5.1770000000000001E-16</v>
      </c>
      <c r="F26" s="13" t="s">
        <v>1476</v>
      </c>
      <c r="G26" s="13">
        <f t="shared" si="0"/>
        <v>517.70000000000005</v>
      </c>
    </row>
    <row r="27" spans="1:7" s="13" customFormat="1" ht="18" customHeight="1" x14ac:dyDescent="0.25">
      <c r="A27" s="13">
        <v>58</v>
      </c>
      <c r="B27" s="13">
        <v>47</v>
      </c>
      <c r="C27" s="13" t="s">
        <v>1455</v>
      </c>
      <c r="E27" s="13">
        <v>2.4870000000000001E-17</v>
      </c>
      <c r="F27" s="13" t="s">
        <v>1475</v>
      </c>
      <c r="G27" s="13">
        <f t="shared" si="0"/>
        <v>24.87</v>
      </c>
    </row>
    <row r="28" spans="1:7" s="13" customFormat="1" ht="18" customHeight="1" x14ac:dyDescent="0.25">
      <c r="A28" s="13">
        <v>58</v>
      </c>
      <c r="B28" s="13">
        <v>31</v>
      </c>
      <c r="C28" s="13" t="s">
        <v>1455</v>
      </c>
      <c r="E28" s="13">
        <v>6.353E-18</v>
      </c>
      <c r="F28" s="13" t="s">
        <v>1475</v>
      </c>
      <c r="G28" s="13">
        <f t="shared" si="0"/>
        <v>6.3529999999999998</v>
      </c>
    </row>
    <row r="29" spans="1:7" s="13" customFormat="1" ht="18" customHeight="1" x14ac:dyDescent="0.25">
      <c r="A29" s="13">
        <v>58</v>
      </c>
      <c r="B29" s="13">
        <v>50</v>
      </c>
      <c r="C29" s="13" t="s">
        <v>1455</v>
      </c>
      <c r="E29" s="13">
        <v>1.165E-17</v>
      </c>
      <c r="F29" s="13" t="s">
        <v>1475</v>
      </c>
      <c r="G29" s="13">
        <f t="shared" si="0"/>
        <v>11.65</v>
      </c>
    </row>
    <row r="30" spans="1:7" s="13" customFormat="1" ht="18" customHeight="1" x14ac:dyDescent="0.25">
      <c r="A30" s="13">
        <v>58</v>
      </c>
      <c r="B30" s="13">
        <v>31</v>
      </c>
      <c r="C30" s="13" t="s">
        <v>1455</v>
      </c>
      <c r="E30" s="13">
        <v>1.165E-17</v>
      </c>
      <c r="F30" s="13" t="s">
        <v>1475</v>
      </c>
      <c r="G30" s="13">
        <f t="shared" si="0"/>
        <v>11.65</v>
      </c>
    </row>
    <row r="31" spans="1:7" s="13" customFormat="1" ht="18" customHeight="1" x14ac:dyDescent="0.25">
      <c r="A31" s="13">
        <v>58</v>
      </c>
      <c r="B31" s="13">
        <v>78</v>
      </c>
      <c r="C31" s="13" t="s">
        <v>1455</v>
      </c>
      <c r="E31" s="13">
        <v>2.0269999999999999E-20</v>
      </c>
      <c r="F31" s="13" t="s">
        <v>1477</v>
      </c>
      <c r="G31" s="13">
        <f t="shared" si="0"/>
        <v>2.027E-2</v>
      </c>
    </row>
    <row r="32" spans="1:7" s="13" customFormat="1" ht="18" customHeight="1" x14ac:dyDescent="0.25">
      <c r="A32" s="13">
        <v>44</v>
      </c>
      <c r="B32" s="13">
        <v>61</v>
      </c>
      <c r="C32" s="13" t="s">
        <v>1455</v>
      </c>
      <c r="E32" s="13">
        <v>1.6710000000000001E-17</v>
      </c>
      <c r="F32" s="13" t="s">
        <v>1475</v>
      </c>
      <c r="G32" s="13">
        <f t="shared" si="0"/>
        <v>16.71</v>
      </c>
    </row>
    <row r="33" spans="1:7" s="13" customFormat="1" ht="18" customHeight="1" x14ac:dyDescent="0.25">
      <c r="A33" s="13">
        <v>44</v>
      </c>
      <c r="B33" s="13">
        <v>31</v>
      </c>
      <c r="C33" s="13" t="s">
        <v>1455</v>
      </c>
      <c r="E33" s="13">
        <v>1.6710000000000001E-17</v>
      </c>
      <c r="F33" s="13" t="s">
        <v>1475</v>
      </c>
      <c r="G33" s="13">
        <f t="shared" si="0"/>
        <v>16.71</v>
      </c>
    </row>
    <row r="34" spans="1:7" s="13" customFormat="1" ht="18" customHeight="1" x14ac:dyDescent="0.25">
      <c r="A34" s="13">
        <v>44</v>
      </c>
      <c r="B34" s="13">
        <v>47</v>
      </c>
      <c r="C34" s="13" t="s">
        <v>1455</v>
      </c>
      <c r="E34" s="13">
        <v>2.9059999999999998E-17</v>
      </c>
      <c r="F34" s="13" t="s">
        <v>1475</v>
      </c>
      <c r="G34" s="13">
        <f t="shared" si="0"/>
        <v>29.06</v>
      </c>
    </row>
    <row r="35" spans="1:7" s="13" customFormat="1" ht="18" customHeight="1" x14ac:dyDescent="0.25">
      <c r="A35" s="13">
        <v>44</v>
      </c>
      <c r="B35" s="13">
        <v>31</v>
      </c>
      <c r="C35" s="13" t="s">
        <v>1455</v>
      </c>
      <c r="E35" s="13">
        <v>9.0840000000000004E-18</v>
      </c>
      <c r="F35" s="13" t="s">
        <v>1475</v>
      </c>
      <c r="G35" s="13">
        <f t="shared" si="0"/>
        <v>9.0839999999999996</v>
      </c>
    </row>
    <row r="36" spans="1:7" s="13" customFormat="1" ht="18" customHeight="1" x14ac:dyDescent="0.25">
      <c r="A36" s="13">
        <v>44</v>
      </c>
      <c r="B36" s="13">
        <v>50</v>
      </c>
      <c r="C36" s="13" t="s">
        <v>1455</v>
      </c>
      <c r="E36" s="13">
        <v>4.5400000000000002E-17</v>
      </c>
      <c r="F36" s="13" t="s">
        <v>1475</v>
      </c>
      <c r="G36" s="13">
        <f t="shared" si="0"/>
        <v>45.4</v>
      </c>
    </row>
    <row r="37" spans="1:7" s="13" customFormat="1" ht="18" customHeight="1" x14ac:dyDescent="0.25">
      <c r="A37" s="13">
        <v>44</v>
      </c>
      <c r="B37" s="13">
        <v>31</v>
      </c>
      <c r="C37" s="13" t="s">
        <v>1455</v>
      </c>
      <c r="E37" s="13">
        <v>4.5400000000000002E-17</v>
      </c>
      <c r="F37" s="13" t="s">
        <v>1475</v>
      </c>
      <c r="G37" s="13">
        <f t="shared" si="0"/>
        <v>45.4</v>
      </c>
    </row>
    <row r="38" spans="1:7" s="13" customFormat="1" ht="18" customHeight="1" x14ac:dyDescent="0.25">
      <c r="A38" s="13">
        <v>44</v>
      </c>
      <c r="B38" s="13">
        <v>78</v>
      </c>
      <c r="C38" s="13" t="s">
        <v>1455</v>
      </c>
      <c r="E38" s="13">
        <v>4.6559999999999998E-20</v>
      </c>
      <c r="F38" s="13" t="s">
        <v>1477</v>
      </c>
      <c r="G38" s="13">
        <f t="shared" si="0"/>
        <v>4.6559999999999997E-2</v>
      </c>
    </row>
    <row r="39" spans="1:7" s="13" customFormat="1" ht="18" customHeight="1" x14ac:dyDescent="0.25">
      <c r="A39" s="13">
        <v>34</v>
      </c>
      <c r="B39" s="13">
        <v>61</v>
      </c>
      <c r="C39" s="13" t="s">
        <v>1455</v>
      </c>
      <c r="E39" s="13">
        <v>1.253E-18</v>
      </c>
      <c r="F39" s="13" t="s">
        <v>1475</v>
      </c>
      <c r="G39" s="13">
        <f t="shared" si="0"/>
        <v>1.2529999999999999</v>
      </c>
    </row>
    <row r="40" spans="1:7" s="13" customFormat="1" ht="18" customHeight="1" x14ac:dyDescent="0.25">
      <c r="A40" s="13">
        <v>34</v>
      </c>
      <c r="B40" s="13">
        <v>31</v>
      </c>
      <c r="C40" s="13" t="s">
        <v>1455</v>
      </c>
      <c r="E40" s="13">
        <v>1.253E-18</v>
      </c>
      <c r="F40" s="13" t="s">
        <v>1475</v>
      </c>
      <c r="G40" s="13">
        <f t="shared" si="0"/>
        <v>1.2529999999999999</v>
      </c>
    </row>
    <row r="41" spans="1:7" s="13" customFormat="1" ht="18" customHeight="1" x14ac:dyDescent="0.25">
      <c r="A41" s="13">
        <v>34</v>
      </c>
      <c r="B41" s="13">
        <v>47</v>
      </c>
      <c r="C41" s="13" t="s">
        <v>1455</v>
      </c>
      <c r="E41" s="13">
        <v>1.9700000000000001E-17</v>
      </c>
      <c r="F41" s="13" t="s">
        <v>1475</v>
      </c>
      <c r="G41" s="13">
        <f t="shared" si="0"/>
        <v>19.700000000000003</v>
      </c>
    </row>
    <row r="42" spans="1:7" s="13" customFormat="1" ht="18" customHeight="1" x14ac:dyDescent="0.25">
      <c r="A42" s="13">
        <v>34</v>
      </c>
      <c r="B42" s="13">
        <v>31</v>
      </c>
      <c r="C42" s="13" t="s">
        <v>1455</v>
      </c>
      <c r="E42" s="13">
        <v>3.8549999999999999E-18</v>
      </c>
      <c r="F42" s="13" t="s">
        <v>1475</v>
      </c>
      <c r="G42" s="13">
        <f t="shared" si="0"/>
        <v>3.855</v>
      </c>
    </row>
    <row r="43" spans="1:7" s="13" customFormat="1" ht="18" customHeight="1" x14ac:dyDescent="0.25">
      <c r="A43" s="13">
        <v>34</v>
      </c>
      <c r="B43" s="13">
        <v>50</v>
      </c>
      <c r="C43" s="13" t="s">
        <v>1455</v>
      </c>
      <c r="E43" s="13">
        <v>1.4130000000000001E-17</v>
      </c>
      <c r="F43" s="13" t="s">
        <v>1475</v>
      </c>
      <c r="G43" s="13">
        <f t="shared" si="0"/>
        <v>14.13</v>
      </c>
    </row>
    <row r="44" spans="1:7" s="13" customFormat="1" ht="18" customHeight="1" x14ac:dyDescent="0.25">
      <c r="A44" s="13">
        <v>34</v>
      </c>
      <c r="B44" s="13">
        <v>31</v>
      </c>
      <c r="C44" s="13" t="s">
        <v>1455</v>
      </c>
      <c r="E44" s="13">
        <v>1.4130000000000001E-17</v>
      </c>
      <c r="F44" s="13" t="s">
        <v>1475</v>
      </c>
      <c r="G44" s="13">
        <f t="shared" si="0"/>
        <v>14.13</v>
      </c>
    </row>
    <row r="45" spans="1:7" s="13" customFormat="1" ht="18" customHeight="1" x14ac:dyDescent="0.25">
      <c r="A45" s="13">
        <v>34</v>
      </c>
      <c r="B45" s="13">
        <v>78</v>
      </c>
      <c r="C45" s="13" t="s">
        <v>1455</v>
      </c>
      <c r="E45" s="13">
        <v>6.2890000000000001E-21</v>
      </c>
      <c r="F45" s="13" t="s">
        <v>1477</v>
      </c>
      <c r="G45" s="13">
        <f t="shared" si="0"/>
        <v>6.2890000000000003E-3</v>
      </c>
    </row>
    <row r="46" spans="1:7" s="13" customFormat="1" ht="18" customHeight="1" x14ac:dyDescent="0.25">
      <c r="A46" s="13">
        <v>29</v>
      </c>
      <c r="B46" s="13">
        <v>78</v>
      </c>
      <c r="C46" s="13" t="s">
        <v>1455</v>
      </c>
      <c r="E46" s="13">
        <v>2.3629999999999998E-21</v>
      </c>
      <c r="F46" s="13" t="s">
        <v>1477</v>
      </c>
      <c r="G46" s="13">
        <f t="shared" si="0"/>
        <v>2.3629999999999996E-3</v>
      </c>
    </row>
    <row r="47" spans="1:7" s="13" customFormat="1" ht="18" customHeight="1" x14ac:dyDescent="0.25">
      <c r="A47" s="13">
        <v>31</v>
      </c>
      <c r="B47" s="13">
        <v>50</v>
      </c>
      <c r="C47" s="13" t="s">
        <v>1455</v>
      </c>
      <c r="E47" s="13">
        <v>8.9239999999999997E-17</v>
      </c>
      <c r="F47" s="13" t="s">
        <v>1476</v>
      </c>
      <c r="G47" s="13">
        <f t="shared" si="0"/>
        <v>89.24</v>
      </c>
    </row>
    <row r="48" spans="1:7" s="13" customFormat="1" ht="18" customHeight="1" x14ac:dyDescent="0.25">
      <c r="A48" s="13">
        <v>31</v>
      </c>
      <c r="B48" s="13">
        <v>41</v>
      </c>
      <c r="C48" s="13" t="s">
        <v>1455</v>
      </c>
      <c r="E48" s="13">
        <v>5.8869999999999996E-15</v>
      </c>
      <c r="F48" s="13" t="s">
        <v>1477</v>
      </c>
      <c r="G48" s="13">
        <f t="shared" si="0"/>
        <v>5887</v>
      </c>
    </row>
    <row r="49" spans="1:7" s="13" customFormat="1" ht="18" customHeight="1" x14ac:dyDescent="0.25">
      <c r="A49" s="13">
        <v>122</v>
      </c>
      <c r="B49" s="13">
        <v>124</v>
      </c>
      <c r="C49" s="13" t="s">
        <v>1455</v>
      </c>
      <c r="E49" s="13">
        <v>1.349E-21</v>
      </c>
      <c r="F49" s="13" t="s">
        <v>1477</v>
      </c>
      <c r="G49" s="13">
        <f t="shared" si="0"/>
        <v>1.3489999999999999E-3</v>
      </c>
    </row>
    <row r="50" spans="1:7" s="13" customFormat="1" ht="18" customHeight="1" x14ac:dyDescent="0.25">
      <c r="A50" s="13">
        <v>122</v>
      </c>
      <c r="B50" s="13">
        <v>127</v>
      </c>
      <c r="C50" s="13" t="s">
        <v>1455</v>
      </c>
      <c r="E50" s="13">
        <v>9.491E-26</v>
      </c>
      <c r="F50" s="13" t="s">
        <v>1477</v>
      </c>
      <c r="G50" s="13">
        <f t="shared" si="0"/>
        <v>9.4909999999999994E-8</v>
      </c>
    </row>
    <row r="51" spans="1:7" s="13" customFormat="1" ht="18" customHeight="1" x14ac:dyDescent="0.25">
      <c r="A51" s="13">
        <v>122</v>
      </c>
      <c r="B51" s="13">
        <v>128</v>
      </c>
      <c r="C51" s="13" t="s">
        <v>1455</v>
      </c>
      <c r="E51" s="13">
        <v>9.491E-26</v>
      </c>
      <c r="F51" s="13" t="s">
        <v>1477</v>
      </c>
      <c r="G51" s="13">
        <f t="shared" si="0"/>
        <v>9.4909999999999994E-8</v>
      </c>
    </row>
    <row r="52" spans="1:7" s="13" customFormat="1" ht="18" customHeight="1" x14ac:dyDescent="0.25">
      <c r="A52" s="13">
        <v>122</v>
      </c>
      <c r="B52" s="13">
        <v>131</v>
      </c>
      <c r="C52" s="13" t="s">
        <v>1455</v>
      </c>
      <c r="E52" s="13">
        <v>6.4939999999999995E-26</v>
      </c>
      <c r="F52" s="13" t="s">
        <v>1477</v>
      </c>
      <c r="G52" s="13">
        <f t="shared" si="0"/>
        <v>6.4939999999999998E-8</v>
      </c>
    </row>
    <row r="53" spans="1:7" s="13" customFormat="1" ht="18" customHeight="1" x14ac:dyDescent="0.25">
      <c r="A53" s="13">
        <v>122</v>
      </c>
      <c r="B53" s="13">
        <v>132</v>
      </c>
      <c r="C53" s="13" t="s">
        <v>1455</v>
      </c>
      <c r="E53" s="13">
        <v>6.4939999999999995E-26</v>
      </c>
      <c r="F53" s="13" t="s">
        <v>1477</v>
      </c>
      <c r="G53" s="13">
        <f t="shared" si="0"/>
        <v>6.4939999999999998E-8</v>
      </c>
    </row>
    <row r="54" spans="1:7" s="13" customFormat="1" ht="18" customHeight="1" x14ac:dyDescent="0.25">
      <c r="A54" s="13">
        <v>122</v>
      </c>
      <c r="B54" s="13">
        <v>41</v>
      </c>
      <c r="C54" s="13" t="s">
        <v>1455</v>
      </c>
      <c r="E54" s="13">
        <v>8.8729999999999991E-28</v>
      </c>
      <c r="F54" s="13" t="s">
        <v>1477</v>
      </c>
      <c r="G54" s="13">
        <f t="shared" si="0"/>
        <v>8.8729999999999992E-10</v>
      </c>
    </row>
    <row r="55" spans="1:7" s="13" customFormat="1" ht="18" customHeight="1" x14ac:dyDescent="0.25">
      <c r="A55" s="13">
        <v>122</v>
      </c>
      <c r="B55" s="13">
        <v>136</v>
      </c>
      <c r="C55" s="13" t="s">
        <v>1455</v>
      </c>
      <c r="E55" s="13">
        <v>8.8729999999999991E-28</v>
      </c>
      <c r="F55" s="13" t="s">
        <v>1477</v>
      </c>
      <c r="G55" s="13">
        <f t="shared" si="0"/>
        <v>8.8729999999999992E-10</v>
      </c>
    </row>
    <row r="56" spans="1:7" s="13" customFormat="1" ht="18" customHeight="1" x14ac:dyDescent="0.25">
      <c r="A56" s="13">
        <v>122</v>
      </c>
      <c r="B56" s="13">
        <v>139</v>
      </c>
      <c r="C56" s="13" t="s">
        <v>1455</v>
      </c>
      <c r="E56" s="13">
        <v>0</v>
      </c>
      <c r="F56" s="13" t="s">
        <v>1477</v>
      </c>
      <c r="G56" s="13">
        <f t="shared" si="0"/>
        <v>0</v>
      </c>
    </row>
    <row r="57" spans="1:7" s="13" customFormat="1" ht="18" customHeight="1" x14ac:dyDescent="0.25">
      <c r="A57" s="13">
        <v>122</v>
      </c>
      <c r="B57" s="13">
        <v>31</v>
      </c>
      <c r="C57" s="13" t="s">
        <v>1455</v>
      </c>
      <c r="E57" s="13">
        <v>0</v>
      </c>
      <c r="F57" s="13" t="s">
        <v>1477</v>
      </c>
      <c r="G57" s="13">
        <f t="shared" si="0"/>
        <v>0</v>
      </c>
    </row>
    <row r="58" spans="1:7" s="13" customFormat="1" ht="18" customHeight="1" x14ac:dyDescent="0.25">
      <c r="A58" s="13">
        <v>122</v>
      </c>
      <c r="B58" s="13">
        <v>132</v>
      </c>
      <c r="C58" s="13" t="s">
        <v>1455</v>
      </c>
      <c r="E58" s="13">
        <v>1.9300000000000001E-18</v>
      </c>
      <c r="F58" s="13" t="s">
        <v>1475</v>
      </c>
      <c r="G58" s="13">
        <f t="shared" si="0"/>
        <v>1.9300000000000002</v>
      </c>
    </row>
    <row r="59" spans="1:7" s="13" customFormat="1" ht="18" customHeight="1" x14ac:dyDescent="0.25">
      <c r="A59" s="13">
        <v>122</v>
      </c>
      <c r="B59" s="13">
        <v>128</v>
      </c>
      <c r="C59" s="13" t="s">
        <v>1455</v>
      </c>
      <c r="E59" s="13">
        <v>1.9300000000000001E-18</v>
      </c>
      <c r="F59" s="13" t="s">
        <v>1475</v>
      </c>
      <c r="G59" s="13">
        <f t="shared" si="0"/>
        <v>1.9300000000000002</v>
      </c>
    </row>
    <row r="60" spans="1:7" s="13" customFormat="1" ht="18" customHeight="1" x14ac:dyDescent="0.25">
      <c r="A60" s="13">
        <v>122</v>
      </c>
      <c r="B60" s="13">
        <v>136</v>
      </c>
      <c r="C60" s="13" t="s">
        <v>1455</v>
      </c>
      <c r="E60" s="13">
        <v>3.5789999999999999E-22</v>
      </c>
      <c r="F60" s="13" t="s">
        <v>1475</v>
      </c>
      <c r="G60" s="13">
        <f t="shared" si="0"/>
        <v>3.5789999999999997E-4</v>
      </c>
    </row>
    <row r="61" spans="1:7" s="13" customFormat="1" ht="18" customHeight="1" x14ac:dyDescent="0.25">
      <c r="A61" s="13">
        <v>122</v>
      </c>
      <c r="B61" s="13">
        <v>50</v>
      </c>
      <c r="C61" s="13" t="s">
        <v>1455</v>
      </c>
      <c r="E61" s="13">
        <v>3.5789999999999999E-22</v>
      </c>
      <c r="F61" s="13" t="s">
        <v>1475</v>
      </c>
      <c r="G61" s="13">
        <f t="shared" si="0"/>
        <v>3.5789999999999997E-4</v>
      </c>
    </row>
    <row r="62" spans="1:7" s="13" customFormat="1" ht="18" customHeight="1" x14ac:dyDescent="0.25">
      <c r="A62" s="13">
        <v>122</v>
      </c>
      <c r="B62" s="13">
        <v>151</v>
      </c>
      <c r="C62" s="13" t="s">
        <v>1455</v>
      </c>
      <c r="E62" s="13">
        <v>6.8469999999999998E-14</v>
      </c>
      <c r="F62" s="13" t="s">
        <v>1478</v>
      </c>
      <c r="G62" s="13">
        <f t="shared" si="0"/>
        <v>68470</v>
      </c>
    </row>
    <row r="63" spans="1:7" s="13" customFormat="1" ht="18" customHeight="1" x14ac:dyDescent="0.25">
      <c r="A63" s="13">
        <v>122</v>
      </c>
      <c r="B63" s="13">
        <v>154</v>
      </c>
      <c r="C63" s="13" t="s">
        <v>1455</v>
      </c>
      <c r="E63" s="13">
        <v>5.9450000000000002E-15</v>
      </c>
      <c r="F63" s="13" t="s">
        <v>1479</v>
      </c>
      <c r="G63" s="13">
        <f t="shared" si="0"/>
        <v>5945</v>
      </c>
    </row>
    <row r="64" spans="1:7" s="13" customFormat="1" ht="18" customHeight="1" x14ac:dyDescent="0.25">
      <c r="A64" s="13">
        <v>136</v>
      </c>
      <c r="B64" s="13">
        <v>128</v>
      </c>
      <c r="C64" s="13" t="s">
        <v>1455</v>
      </c>
      <c r="E64" s="13">
        <v>4.3308923000000003E-23</v>
      </c>
      <c r="F64" s="13" t="s">
        <v>1475</v>
      </c>
      <c r="G64" s="13">
        <f t="shared" si="0"/>
        <v>4.3308923000000004E-5</v>
      </c>
    </row>
    <row r="65" spans="1:7" s="13" customFormat="1" ht="18" customHeight="1" x14ac:dyDescent="0.25">
      <c r="A65" s="13">
        <v>136</v>
      </c>
      <c r="B65" s="13">
        <v>139</v>
      </c>
      <c r="C65" s="13" t="s">
        <v>1455</v>
      </c>
      <c r="E65" s="13">
        <v>4.6989999999999999E-23</v>
      </c>
      <c r="F65" s="13" t="s">
        <v>1475</v>
      </c>
      <c r="G65" s="13">
        <f t="shared" si="0"/>
        <v>4.6989999999999996E-5</v>
      </c>
    </row>
    <row r="66" spans="1:7" s="13" customFormat="1" ht="18" customHeight="1" x14ac:dyDescent="0.25">
      <c r="A66" s="13">
        <v>28</v>
      </c>
      <c r="B66" s="13">
        <v>4</v>
      </c>
      <c r="C66" s="13" t="s">
        <v>1455</v>
      </c>
      <c r="E66" s="13">
        <v>9.4171072618458878E-16</v>
      </c>
      <c r="F66" s="13" t="s">
        <v>1480</v>
      </c>
      <c r="G66" s="13">
        <f t="shared" si="0"/>
        <v>941.71072618458879</v>
      </c>
    </row>
    <row r="67" spans="1:7" s="13" customFormat="1" ht="18" customHeight="1" x14ac:dyDescent="0.25">
      <c r="A67" s="13">
        <v>19</v>
      </c>
      <c r="B67" s="13">
        <v>4</v>
      </c>
      <c r="C67" s="13" t="s">
        <v>1455</v>
      </c>
      <c r="E67" s="13">
        <v>2.7713690477621255E-15</v>
      </c>
      <c r="F67" s="13" t="s">
        <v>1480</v>
      </c>
      <c r="G67" s="13">
        <f t="shared" ref="G67:G105" si="4">E67*10^18</f>
        <v>2771.3690477621253</v>
      </c>
    </row>
    <row r="68" spans="1:7" s="13" customFormat="1" ht="18" customHeight="1" x14ac:dyDescent="0.25">
      <c r="A68" s="13">
        <v>19</v>
      </c>
      <c r="B68" s="13">
        <v>3</v>
      </c>
      <c r="C68" s="13" t="s">
        <v>1455</v>
      </c>
      <c r="E68" s="13">
        <v>2.5042491395440894E-15</v>
      </c>
      <c r="F68" s="13" t="s">
        <v>1480</v>
      </c>
      <c r="G68" s="13">
        <f t="shared" si="4"/>
        <v>2504.2491395440893</v>
      </c>
    </row>
    <row r="69" spans="1:7" s="13" customFormat="1" ht="18" customHeight="1" x14ac:dyDescent="0.25">
      <c r="A69" s="13">
        <v>19</v>
      </c>
      <c r="B69" s="13">
        <v>4</v>
      </c>
      <c r="C69" s="13" t="s">
        <v>1455</v>
      </c>
      <c r="E69" s="13">
        <v>2.5042491395440894E-15</v>
      </c>
      <c r="F69" s="13" t="s">
        <v>1480</v>
      </c>
      <c r="G69" s="13">
        <f t="shared" si="4"/>
        <v>2504.2491395440893</v>
      </c>
    </row>
    <row r="70" spans="1:7" s="13" customFormat="1" ht="18" customHeight="1" x14ac:dyDescent="0.25">
      <c r="A70" s="13">
        <v>19</v>
      </c>
      <c r="B70" s="13">
        <v>1</v>
      </c>
      <c r="C70" s="13" t="s">
        <v>1455</v>
      </c>
      <c r="E70" s="13">
        <v>9.4171072618458878E-16</v>
      </c>
      <c r="F70" s="13" t="s">
        <v>1480</v>
      </c>
      <c r="G70" s="13">
        <f t="shared" si="4"/>
        <v>941.71072618458879</v>
      </c>
    </row>
    <row r="71" spans="1:7" s="13" customFormat="1" ht="18" customHeight="1" x14ac:dyDescent="0.25">
      <c r="A71" s="13">
        <v>19</v>
      </c>
      <c r="B71" s="13">
        <v>4</v>
      </c>
      <c r="C71" s="13" t="s">
        <v>1455</v>
      </c>
      <c r="E71" s="13">
        <v>9.4171072618458878E-16</v>
      </c>
      <c r="F71" s="13" t="s">
        <v>1480</v>
      </c>
      <c r="G71" s="13">
        <f t="shared" si="4"/>
        <v>941.71072618458879</v>
      </c>
    </row>
    <row r="72" spans="1:7" s="13" customFormat="1" ht="18" customHeight="1" x14ac:dyDescent="0.25">
      <c r="A72" s="13">
        <v>41</v>
      </c>
      <c r="B72" s="13">
        <v>31</v>
      </c>
      <c r="C72" s="13" t="s">
        <v>1455</v>
      </c>
      <c r="E72" s="13">
        <v>9.4171072618458878E-16</v>
      </c>
      <c r="F72" s="13" t="s">
        <v>1480</v>
      </c>
      <c r="G72" s="13">
        <f t="shared" si="4"/>
        <v>941.71072618458879</v>
      </c>
    </row>
    <row r="73" spans="1:7" s="13" customFormat="1" ht="18" customHeight="1" x14ac:dyDescent="0.25">
      <c r="A73" s="13">
        <v>78</v>
      </c>
      <c r="B73" s="13">
        <v>31</v>
      </c>
      <c r="C73" s="13" t="s">
        <v>1455</v>
      </c>
      <c r="E73" s="13">
        <v>2.80475903628938E-14</v>
      </c>
      <c r="F73" s="13" t="s">
        <v>1480</v>
      </c>
      <c r="G73" s="13">
        <f t="shared" si="4"/>
        <v>28047.590362893799</v>
      </c>
    </row>
    <row r="74" spans="1:7" s="13" customFormat="1" ht="18" customHeight="1" x14ac:dyDescent="0.25">
      <c r="A74" s="13">
        <v>78</v>
      </c>
      <c r="B74" s="13">
        <v>31</v>
      </c>
      <c r="C74" s="13" t="s">
        <v>1455</v>
      </c>
      <c r="E74" s="13">
        <v>2.0701792886897805E-14</v>
      </c>
      <c r="F74" s="13" t="s">
        <v>1480</v>
      </c>
      <c r="G74" s="13">
        <f t="shared" si="4"/>
        <v>20701.792886897805</v>
      </c>
    </row>
    <row r="75" spans="1:7" s="13" customFormat="1" ht="18" customHeight="1" x14ac:dyDescent="0.25">
      <c r="A75" s="13">
        <v>78</v>
      </c>
      <c r="B75" s="13">
        <v>50</v>
      </c>
      <c r="C75" s="13" t="s">
        <v>1455</v>
      </c>
      <c r="E75" s="13">
        <v>2.0701792886897805E-14</v>
      </c>
      <c r="F75" s="13" t="s">
        <v>1480</v>
      </c>
      <c r="G75" s="13">
        <f t="shared" si="4"/>
        <v>20701.792886897805</v>
      </c>
    </row>
    <row r="76" spans="1:7" s="13" customFormat="1" ht="18" customHeight="1" x14ac:dyDescent="0.25">
      <c r="A76" s="13">
        <v>78</v>
      </c>
      <c r="B76" s="13">
        <v>29</v>
      </c>
      <c r="C76" s="13" t="s">
        <v>1455</v>
      </c>
      <c r="E76" s="13">
        <v>9.4171072618458878E-16</v>
      </c>
      <c r="F76" s="13" t="s">
        <v>1480</v>
      </c>
      <c r="G76" s="13">
        <f t="shared" si="4"/>
        <v>941.71072618458879</v>
      </c>
    </row>
    <row r="77" spans="1:7" s="13" customFormat="1" ht="18" customHeight="1" x14ac:dyDescent="0.25">
      <c r="A77" s="13">
        <v>139</v>
      </c>
      <c r="B77" s="13">
        <v>128</v>
      </c>
      <c r="C77" s="13" t="s">
        <v>1455</v>
      </c>
      <c r="E77" s="13">
        <v>3.6592103004631242E-15</v>
      </c>
      <c r="F77" s="13" t="s">
        <v>1480</v>
      </c>
      <c r="G77" s="13">
        <f t="shared" si="4"/>
        <v>3659.210300463124</v>
      </c>
    </row>
    <row r="78" spans="1:7" s="13" customFormat="1" ht="18" customHeight="1" x14ac:dyDescent="0.25">
      <c r="A78" s="13">
        <v>124</v>
      </c>
      <c r="B78" s="13">
        <v>132</v>
      </c>
      <c r="C78" s="13" t="s">
        <v>1455</v>
      </c>
      <c r="E78" s="13">
        <v>2.8333204747257238E-14</v>
      </c>
      <c r="F78" s="13" t="s">
        <v>1480</v>
      </c>
      <c r="G78" s="13">
        <f t="shared" si="4"/>
        <v>28333.204747257238</v>
      </c>
    </row>
    <row r="79" spans="1:7" s="13" customFormat="1" ht="18" customHeight="1" x14ac:dyDescent="0.25">
      <c r="A79" s="13">
        <v>124</v>
      </c>
      <c r="B79" s="13">
        <v>128</v>
      </c>
      <c r="C79" s="13" t="s">
        <v>1455</v>
      </c>
      <c r="E79" s="13">
        <v>2.8333204747257238E-14</v>
      </c>
      <c r="F79" s="13" t="s">
        <v>1480</v>
      </c>
      <c r="G79" s="13">
        <f t="shared" si="4"/>
        <v>28333.204747257238</v>
      </c>
    </row>
    <row r="80" spans="1:7" s="13" customFormat="1" ht="18" customHeight="1" x14ac:dyDescent="0.25">
      <c r="A80" s="13">
        <v>124</v>
      </c>
      <c r="B80" s="13">
        <v>31</v>
      </c>
      <c r="C80" s="13" t="s">
        <v>1455</v>
      </c>
      <c r="E80" s="13">
        <v>1.4218494690015537E-14</v>
      </c>
      <c r="F80" s="13" t="s">
        <v>1480</v>
      </c>
      <c r="G80" s="13">
        <f t="shared" si="4"/>
        <v>14218.494690015537</v>
      </c>
    </row>
    <row r="81" spans="1:7" s="13" customFormat="1" ht="18" customHeight="1" x14ac:dyDescent="0.25">
      <c r="A81" s="13">
        <v>124</v>
      </c>
      <c r="B81" s="13">
        <v>136</v>
      </c>
      <c r="C81" s="13" t="s">
        <v>1455</v>
      </c>
      <c r="E81" s="13">
        <v>1.4218494690015537E-14</v>
      </c>
      <c r="F81" s="13" t="s">
        <v>1480</v>
      </c>
      <c r="G81" s="13">
        <f t="shared" si="4"/>
        <v>14218.494690015537</v>
      </c>
    </row>
    <row r="82" spans="1:7" s="13" customFormat="1" ht="18" customHeight="1" x14ac:dyDescent="0.25">
      <c r="A82" s="13">
        <v>124</v>
      </c>
      <c r="B82" s="13">
        <v>31</v>
      </c>
      <c r="C82" s="13" t="s">
        <v>1455</v>
      </c>
      <c r="E82" s="13">
        <v>1.4218494690015537E-14</v>
      </c>
      <c r="F82" s="13" t="s">
        <v>1480</v>
      </c>
      <c r="G82" s="13">
        <f t="shared" si="4"/>
        <v>14218.494690015537</v>
      </c>
    </row>
    <row r="83" spans="1:7" s="13" customFormat="1" ht="18" customHeight="1" x14ac:dyDescent="0.25">
      <c r="A83" s="13">
        <v>124</v>
      </c>
      <c r="B83" s="13">
        <v>128</v>
      </c>
      <c r="C83" s="13" t="s">
        <v>1455</v>
      </c>
      <c r="E83" s="13">
        <v>1.4218494690015537E-14</v>
      </c>
      <c r="F83" s="13" t="s">
        <v>1480</v>
      </c>
      <c r="G83" s="13">
        <f t="shared" si="4"/>
        <v>14218.494690015537</v>
      </c>
    </row>
    <row r="84" spans="1:7" s="13" customFormat="1" ht="18" customHeight="1" x14ac:dyDescent="0.25">
      <c r="A84" s="13">
        <v>28</v>
      </c>
      <c r="B84" s="13">
        <v>4</v>
      </c>
      <c r="C84" s="13" t="s">
        <v>1455</v>
      </c>
      <c r="E84" s="13">
        <v>5.2226054778825774E-38</v>
      </c>
      <c r="F84" s="13" t="s">
        <v>1480</v>
      </c>
      <c r="G84" s="13">
        <f t="shared" si="4"/>
        <v>5.2226054778825771E-20</v>
      </c>
    </row>
    <row r="85" spans="1:7" s="13" customFormat="1" ht="18" customHeight="1" x14ac:dyDescent="0.25">
      <c r="A85" s="13">
        <v>19</v>
      </c>
      <c r="B85" s="13">
        <v>1</v>
      </c>
      <c r="C85" s="13" t="s">
        <v>1455</v>
      </c>
      <c r="E85" s="13">
        <v>5.2226054778825774E-38</v>
      </c>
      <c r="F85" s="13" t="s">
        <v>1480</v>
      </c>
      <c r="G85" s="13">
        <f t="shared" si="4"/>
        <v>5.2226054778825771E-20</v>
      </c>
    </row>
    <row r="86" spans="1:7" s="13" customFormat="1" ht="18" customHeight="1" x14ac:dyDescent="0.25">
      <c r="A86" s="13">
        <v>41</v>
      </c>
      <c r="B86" s="13">
        <v>31</v>
      </c>
      <c r="C86" s="13" t="s">
        <v>1455</v>
      </c>
      <c r="E86" s="13">
        <v>5.2226054778825774E-38</v>
      </c>
      <c r="F86" s="13" t="s">
        <v>1480</v>
      </c>
      <c r="G86" s="13">
        <f t="shared" si="4"/>
        <v>5.2226054778825771E-20</v>
      </c>
    </row>
    <row r="87" spans="1:7" s="13" customFormat="1" ht="18" customHeight="1" x14ac:dyDescent="0.25">
      <c r="A87" s="13">
        <v>78</v>
      </c>
      <c r="B87" s="13">
        <v>29</v>
      </c>
      <c r="C87" s="13" t="s">
        <v>1455</v>
      </c>
      <c r="E87" s="13">
        <v>5.2226054778825774E-38</v>
      </c>
      <c r="F87" s="13" t="s">
        <v>1480</v>
      </c>
      <c r="G87" s="13">
        <f t="shared" si="4"/>
        <v>5.2226054778825771E-20</v>
      </c>
    </row>
    <row r="88" spans="1:7" s="13" customFormat="1" ht="18" customHeight="1" x14ac:dyDescent="0.25">
      <c r="A88" s="13">
        <v>131</v>
      </c>
      <c r="B88" s="13">
        <v>128</v>
      </c>
      <c r="C88" s="13" t="s">
        <v>1455</v>
      </c>
      <c r="E88" s="13">
        <v>5.2226054778825774E-38</v>
      </c>
      <c r="F88" s="13" t="s">
        <v>1480</v>
      </c>
      <c r="G88" s="13">
        <f t="shared" si="4"/>
        <v>5.2226054778825771E-20</v>
      </c>
    </row>
    <row r="89" spans="1:7" s="13" customFormat="1" ht="18" customHeight="1" x14ac:dyDescent="0.25">
      <c r="A89" s="13">
        <v>139</v>
      </c>
      <c r="B89" s="13">
        <v>136</v>
      </c>
      <c r="C89" s="13" t="s">
        <v>1455</v>
      </c>
      <c r="E89" s="13">
        <v>5.2226054778825774E-38</v>
      </c>
      <c r="F89" s="13" t="s">
        <v>1480</v>
      </c>
      <c r="G89" s="13">
        <f t="shared" si="4"/>
        <v>5.2226054778825771E-20</v>
      </c>
    </row>
    <row r="90" spans="1:7" s="13" customFormat="1" ht="18" customHeight="1" x14ac:dyDescent="0.25">
      <c r="A90" s="13">
        <v>127</v>
      </c>
      <c r="B90" s="13">
        <v>132</v>
      </c>
      <c r="C90" s="13" t="s">
        <v>1455</v>
      </c>
      <c r="E90" s="13">
        <v>5.2226054778825774E-38</v>
      </c>
      <c r="F90" s="13" t="s">
        <v>1480</v>
      </c>
      <c r="G90" s="13">
        <f t="shared" si="4"/>
        <v>5.2226054778825771E-20</v>
      </c>
    </row>
    <row r="91" spans="1:7" s="13" customFormat="1" ht="18" customHeight="1" x14ac:dyDescent="0.25">
      <c r="A91" s="13">
        <v>124</v>
      </c>
      <c r="B91" s="13">
        <v>122</v>
      </c>
      <c r="C91" s="13" t="s">
        <v>1455</v>
      </c>
      <c r="E91" s="13">
        <v>5.2226054778825774E-38</v>
      </c>
      <c r="F91" s="13" t="s">
        <v>1480</v>
      </c>
      <c r="G91" s="13">
        <f t="shared" si="4"/>
        <v>5.2226054778825771E-20</v>
      </c>
    </row>
    <row r="92" spans="1:7" s="13" customFormat="1" ht="18" customHeight="1" x14ac:dyDescent="0.25">
      <c r="A92" s="13">
        <v>29</v>
      </c>
      <c r="B92" s="13">
        <v>229</v>
      </c>
      <c r="C92" s="13" t="s">
        <v>1455</v>
      </c>
      <c r="E92" s="13">
        <v>1.3310000000000001E-16</v>
      </c>
      <c r="F92" s="13" t="s">
        <v>1474</v>
      </c>
      <c r="G92" s="13">
        <f t="shared" si="4"/>
        <v>133.1</v>
      </c>
    </row>
    <row r="93" spans="1:7" s="13" customFormat="1" ht="18" customHeight="1" x14ac:dyDescent="0.25">
      <c r="A93" s="13">
        <v>29</v>
      </c>
      <c r="B93" s="13">
        <v>61</v>
      </c>
      <c r="C93" s="13" t="s">
        <v>1455</v>
      </c>
      <c r="E93" s="13">
        <v>1.153E-18</v>
      </c>
      <c r="F93" s="13" t="s">
        <v>1052</v>
      </c>
      <c r="G93" s="13">
        <f t="shared" si="4"/>
        <v>1.153</v>
      </c>
    </row>
    <row r="94" spans="1:7" s="13" customFormat="1" ht="18" customHeight="1" x14ac:dyDescent="0.25">
      <c r="A94" s="13">
        <v>29</v>
      </c>
      <c r="B94" s="13">
        <v>31</v>
      </c>
      <c r="C94" s="13" t="s">
        <v>1455</v>
      </c>
      <c r="E94" s="13">
        <v>1.153E-18</v>
      </c>
      <c r="F94" s="13" t="s">
        <v>1052</v>
      </c>
      <c r="G94" s="13">
        <f t="shared" si="4"/>
        <v>1.153</v>
      </c>
    </row>
    <row r="95" spans="1:7" s="13" customFormat="1" ht="18" customHeight="1" x14ac:dyDescent="0.25">
      <c r="A95" s="13">
        <v>234</v>
      </c>
      <c r="B95" s="13">
        <v>61</v>
      </c>
      <c r="C95" s="13" t="s">
        <v>1455</v>
      </c>
      <c r="E95" s="13">
        <v>1.0269999999999999E-15</v>
      </c>
      <c r="F95" s="13" t="s">
        <v>1052</v>
      </c>
      <c r="G95" s="13">
        <f t="shared" si="4"/>
        <v>1027</v>
      </c>
    </row>
    <row r="96" spans="1:7" s="13" customFormat="1" ht="18" customHeight="1" x14ac:dyDescent="0.25">
      <c r="A96" s="13">
        <v>234</v>
      </c>
      <c r="B96" s="13">
        <v>29</v>
      </c>
      <c r="C96" s="13" t="s">
        <v>1455</v>
      </c>
      <c r="E96" s="13">
        <v>1.0269999999999999E-15</v>
      </c>
      <c r="F96" s="13" t="s">
        <v>1052</v>
      </c>
      <c r="G96" s="13">
        <f t="shared" si="4"/>
        <v>1027</v>
      </c>
    </row>
    <row r="97" spans="1:7" s="13" customFormat="1" ht="18" customHeight="1" x14ac:dyDescent="0.25">
      <c r="A97" s="13">
        <v>234</v>
      </c>
      <c r="B97" s="13">
        <v>229</v>
      </c>
      <c r="C97" s="13" t="s">
        <v>1455</v>
      </c>
      <c r="E97" s="13">
        <v>4.7500000000000003E-16</v>
      </c>
      <c r="F97" s="13" t="s">
        <v>1052</v>
      </c>
      <c r="G97" s="13">
        <f t="shared" si="4"/>
        <v>475</v>
      </c>
    </row>
    <row r="98" spans="1:7" s="13" customFormat="1" ht="18" customHeight="1" x14ac:dyDescent="0.25">
      <c r="A98" s="13">
        <v>234</v>
      </c>
      <c r="B98" s="13">
        <v>31</v>
      </c>
      <c r="C98" s="13" t="s">
        <v>1455</v>
      </c>
      <c r="E98" s="13">
        <v>4.7500000000000003E-16</v>
      </c>
      <c r="F98" s="13" t="s">
        <v>1052</v>
      </c>
      <c r="G98" s="13">
        <f t="shared" si="4"/>
        <v>475</v>
      </c>
    </row>
    <row r="99" spans="1:7" s="13" customFormat="1" ht="18" customHeight="1" x14ac:dyDescent="0.25">
      <c r="A99" s="13">
        <v>234</v>
      </c>
      <c r="B99" s="13">
        <v>244</v>
      </c>
      <c r="C99" s="13" t="s">
        <v>1455</v>
      </c>
      <c r="E99" s="13">
        <v>2.7000000000000007E-18</v>
      </c>
      <c r="F99" s="13" t="s">
        <v>1474</v>
      </c>
      <c r="G99" s="13">
        <f t="shared" si="4"/>
        <v>2.7000000000000006</v>
      </c>
    </row>
    <row r="100" spans="1:7" s="13" customFormat="1" ht="18" customHeight="1" x14ac:dyDescent="0.25">
      <c r="A100" s="13">
        <v>122</v>
      </c>
      <c r="B100" s="13">
        <v>247</v>
      </c>
      <c r="C100" s="13" t="s">
        <v>1455</v>
      </c>
      <c r="E100" s="13">
        <v>3.0540000000000001E-18</v>
      </c>
      <c r="F100" s="13" t="s">
        <v>1052</v>
      </c>
      <c r="G100" s="13">
        <f t="shared" si="4"/>
        <v>3.0540000000000003</v>
      </c>
    </row>
    <row r="101" spans="1:7" s="13" customFormat="1" ht="18" customHeight="1" x14ac:dyDescent="0.25">
      <c r="A101" s="13">
        <v>122</v>
      </c>
      <c r="B101" s="13">
        <v>132</v>
      </c>
      <c r="C101" s="13" t="s">
        <v>1455</v>
      </c>
      <c r="E101" s="13">
        <v>3.0540000000000001E-18</v>
      </c>
      <c r="F101" s="13" t="s">
        <v>1052</v>
      </c>
      <c r="G101" s="13">
        <f t="shared" si="4"/>
        <v>3.0540000000000003</v>
      </c>
    </row>
    <row r="102" spans="1:7" s="13" customFormat="1" ht="18" customHeight="1" x14ac:dyDescent="0.25">
      <c r="A102" s="13">
        <v>122</v>
      </c>
      <c r="B102" s="13">
        <v>61</v>
      </c>
      <c r="C102" s="13" t="s">
        <v>1455</v>
      </c>
      <c r="E102" s="13">
        <v>1.792E-19</v>
      </c>
      <c r="F102" s="13" t="s">
        <v>1052</v>
      </c>
      <c r="G102" s="13">
        <f t="shared" si="4"/>
        <v>0.1792</v>
      </c>
    </row>
    <row r="103" spans="1:7" s="13" customFormat="1" ht="18" customHeight="1" x14ac:dyDescent="0.25">
      <c r="A103" s="13">
        <v>122</v>
      </c>
      <c r="B103" s="13">
        <v>136</v>
      </c>
      <c r="C103" s="13" t="s">
        <v>1455</v>
      </c>
      <c r="E103" s="13">
        <v>1.792E-19</v>
      </c>
      <c r="F103" s="13" t="s">
        <v>1052</v>
      </c>
      <c r="G103" s="13">
        <f t="shared" si="4"/>
        <v>0.1792</v>
      </c>
    </row>
    <row r="104" spans="1:7" s="13" customFormat="1" ht="18" customHeight="1" x14ac:dyDescent="0.25">
      <c r="A104" s="13">
        <v>122</v>
      </c>
      <c r="B104" s="13">
        <v>255</v>
      </c>
      <c r="C104" s="13" t="s">
        <v>1455</v>
      </c>
      <c r="E104" s="13">
        <v>7.6049999999999997E-20</v>
      </c>
      <c r="F104" s="13" t="s">
        <v>1052</v>
      </c>
      <c r="G104" s="13">
        <f t="shared" si="4"/>
        <v>7.6049999999999993E-2</v>
      </c>
    </row>
    <row r="105" spans="1:7" s="13" customFormat="1" ht="18" customHeight="1" x14ac:dyDescent="0.25">
      <c r="A105" s="13">
        <v>122</v>
      </c>
      <c r="B105" s="13">
        <v>128</v>
      </c>
      <c r="C105" s="13" t="s">
        <v>1455</v>
      </c>
      <c r="E105" s="13">
        <v>7.6049999999999997E-20</v>
      </c>
      <c r="F105" s="13" t="s">
        <v>1052</v>
      </c>
      <c r="G105" s="13">
        <f t="shared" si="4"/>
        <v>7.6049999999999993E-2</v>
      </c>
    </row>
    <row r="106" spans="1:7" s="13" customFormat="1" ht="18" customHeight="1" x14ac:dyDescent="0.25"/>
    <row r="107" spans="1:7" s="13" customFormat="1" ht="18" customHeight="1" x14ac:dyDescent="0.25"/>
    <row r="108" spans="1:7" s="13" customFormat="1" ht="18" customHeight="1" x14ac:dyDescent="0.25"/>
    <row r="109" spans="1:7" s="13" customFormat="1" ht="18" customHeight="1" x14ac:dyDescent="0.25"/>
    <row r="110" spans="1:7" s="13" customFormat="1" ht="18" customHeight="1" x14ac:dyDescent="0.25"/>
    <row r="111" spans="1:7" s="13" customFormat="1" ht="18" customHeight="1" x14ac:dyDescent="0.25"/>
    <row r="112" spans="1:7" s="13" customFormat="1" ht="18" customHeight="1" x14ac:dyDescent="0.25"/>
    <row r="113" s="13" customFormat="1" ht="18" customHeight="1" x14ac:dyDescent="0.25"/>
    <row r="114" s="13" customFormat="1" ht="18" customHeight="1" x14ac:dyDescent="0.25"/>
    <row r="115" s="13" customFormat="1" ht="18" customHeight="1" x14ac:dyDescent="0.25"/>
    <row r="116" s="13" customFormat="1" ht="18" customHeight="1" x14ac:dyDescent="0.25"/>
    <row r="117" s="13" customFormat="1" ht="18" customHeight="1" x14ac:dyDescent="0.25"/>
    <row r="118" s="13" customFormat="1" ht="18" customHeight="1" x14ac:dyDescent="0.25"/>
    <row r="119" s="13" customFormat="1" ht="18" customHeight="1" x14ac:dyDescent="0.25"/>
    <row r="120" s="13" customFormat="1" ht="18" customHeight="1" x14ac:dyDescent="0.25"/>
    <row r="121" s="13" customFormat="1" ht="18" customHeight="1" x14ac:dyDescent="0.25"/>
    <row r="122" s="13" customFormat="1" ht="18" customHeight="1" x14ac:dyDescent="0.25"/>
    <row r="123" s="13" customFormat="1" ht="18" customHeight="1" x14ac:dyDescent="0.25"/>
    <row r="124" s="13" customFormat="1" ht="18" customHeight="1" x14ac:dyDescent="0.25"/>
    <row r="125" s="13" customFormat="1" ht="18" customHeight="1" x14ac:dyDescent="0.25"/>
    <row r="126" s="13" customFormat="1" ht="18" customHeight="1" x14ac:dyDescent="0.25"/>
    <row r="127" s="13" customFormat="1" ht="18" customHeight="1" x14ac:dyDescent="0.25"/>
    <row r="128" s="13" customFormat="1" ht="18" customHeight="1" x14ac:dyDescent="0.25"/>
    <row r="129" s="13" customFormat="1" ht="18" customHeight="1" x14ac:dyDescent="0.25"/>
    <row r="130" s="13" customFormat="1" ht="18" customHeight="1" x14ac:dyDescent="0.25"/>
    <row r="131" s="13" customFormat="1" ht="18" customHeight="1" x14ac:dyDescent="0.25"/>
    <row r="132" s="13" customFormat="1" ht="18" customHeight="1" x14ac:dyDescent="0.25"/>
    <row r="133" s="13" customFormat="1" ht="18" customHeight="1" x14ac:dyDescent="0.25"/>
    <row r="134" s="13" customFormat="1" ht="18" customHeight="1" x14ac:dyDescent="0.25"/>
    <row r="135" s="13" customFormat="1" ht="18" customHeight="1" x14ac:dyDescent="0.25"/>
    <row r="136" s="13" customFormat="1" ht="18" customHeight="1" x14ac:dyDescent="0.25"/>
    <row r="137" s="13" customFormat="1" ht="18" customHeight="1" x14ac:dyDescent="0.25"/>
    <row r="138" s="13" customFormat="1" ht="18" customHeight="1" x14ac:dyDescent="0.25"/>
    <row r="139" s="13" customFormat="1" ht="18" customHeight="1" x14ac:dyDescent="0.25"/>
    <row r="140" s="13" customFormat="1" ht="18" customHeight="1" x14ac:dyDescent="0.25"/>
    <row r="141" s="13" customFormat="1" ht="18" customHeight="1" x14ac:dyDescent="0.25"/>
    <row r="142" s="13" customFormat="1" ht="18" customHeight="1" x14ac:dyDescent="0.25"/>
    <row r="143" s="13" customFormat="1" ht="18" customHeight="1" x14ac:dyDescent="0.25"/>
    <row r="144" s="13" customFormat="1" ht="18" customHeight="1" x14ac:dyDescent="0.25"/>
    <row r="145" s="13" customFormat="1" ht="18" customHeight="1" x14ac:dyDescent="0.25"/>
    <row r="146" s="13" customFormat="1" ht="18" customHeight="1" x14ac:dyDescent="0.25"/>
    <row r="147" s="13" customFormat="1" ht="18" customHeight="1" x14ac:dyDescent="0.25"/>
    <row r="148" s="13" customFormat="1" ht="18" customHeight="1" x14ac:dyDescent="0.25"/>
    <row r="149" s="13" customFormat="1" ht="18" customHeight="1" x14ac:dyDescent="0.25"/>
    <row r="150" s="13" customFormat="1" ht="18" customHeight="1" x14ac:dyDescent="0.25"/>
    <row r="151" s="13" customFormat="1" ht="18" customHeight="1" x14ac:dyDescent="0.25"/>
    <row r="152" s="13" customFormat="1" ht="18" customHeight="1" x14ac:dyDescent="0.25"/>
    <row r="153" s="13" customFormat="1" ht="18" customHeight="1" x14ac:dyDescent="0.25"/>
    <row r="154" s="13" customFormat="1" ht="18" customHeight="1" x14ac:dyDescent="0.25"/>
    <row r="155" s="13" customFormat="1" ht="18" customHeight="1" x14ac:dyDescent="0.25"/>
    <row r="156" s="13" customFormat="1" ht="18" customHeight="1" x14ac:dyDescent="0.25"/>
    <row r="157" s="13" customFormat="1" ht="18" customHeight="1" x14ac:dyDescent="0.25"/>
    <row r="158" s="13" customFormat="1" ht="18" customHeight="1" x14ac:dyDescent="0.25"/>
    <row r="159" s="13" customFormat="1" ht="18" customHeight="1" x14ac:dyDescent="0.25"/>
    <row r="160" s="13" customFormat="1" ht="18" customHeight="1" x14ac:dyDescent="0.25"/>
    <row r="161" s="13" customFormat="1" ht="18" customHeight="1" x14ac:dyDescent="0.25"/>
    <row r="162" s="13" customFormat="1" ht="18" customHeight="1" x14ac:dyDescent="0.25"/>
    <row r="163" s="13" customFormat="1" ht="18" customHeight="1" x14ac:dyDescent="0.25"/>
    <row r="164" s="13" customFormat="1" ht="18" customHeight="1" x14ac:dyDescent="0.25"/>
    <row r="165" s="13" customFormat="1" ht="18" customHeight="1" x14ac:dyDescent="0.25"/>
    <row r="166" s="13" customFormat="1" ht="18" customHeight="1" x14ac:dyDescent="0.25"/>
    <row r="167" s="13" customFormat="1" ht="18" customHeight="1" x14ac:dyDescent="0.25"/>
    <row r="168" s="13" customFormat="1" ht="18" customHeight="1" x14ac:dyDescent="0.25"/>
    <row r="169" s="13" customFormat="1" ht="18" customHeight="1" x14ac:dyDescent="0.25"/>
    <row r="170" s="13" customFormat="1" ht="18" customHeight="1" x14ac:dyDescent="0.25"/>
    <row r="171" s="13" customFormat="1" ht="18" customHeight="1" x14ac:dyDescent="0.25"/>
    <row r="172" s="13" customFormat="1" ht="18" customHeight="1" x14ac:dyDescent="0.25"/>
    <row r="173" s="13" customFormat="1" ht="18" customHeight="1" x14ac:dyDescent="0.25"/>
    <row r="174" s="13" customFormat="1" ht="18" customHeight="1" x14ac:dyDescent="0.25"/>
    <row r="175" s="13" customFormat="1" ht="18" customHeight="1" x14ac:dyDescent="0.25"/>
    <row r="176" s="13" customFormat="1" ht="18" customHeight="1" x14ac:dyDescent="0.25"/>
    <row r="177" s="13" customFormat="1" ht="18" customHeight="1" x14ac:dyDescent="0.25"/>
    <row r="178" s="13" customFormat="1" ht="18" customHeight="1" x14ac:dyDescent="0.25"/>
    <row r="179" s="13" customFormat="1" ht="18" customHeight="1" x14ac:dyDescent="0.25"/>
    <row r="180" s="13" customFormat="1" ht="18" customHeight="1" x14ac:dyDescent="0.25"/>
    <row r="181" s="13" customFormat="1" ht="18" customHeight="1" x14ac:dyDescent="0.25"/>
    <row r="182" s="13" customFormat="1" ht="18" customHeight="1" x14ac:dyDescent="0.25"/>
    <row r="183" s="13" customFormat="1" ht="18" customHeight="1" x14ac:dyDescent="0.25"/>
    <row r="184" s="13" customFormat="1" ht="18" customHeight="1" x14ac:dyDescent="0.25"/>
    <row r="185" s="13" customFormat="1" ht="18" customHeight="1" x14ac:dyDescent="0.25"/>
    <row r="186" s="13" customFormat="1" ht="18" customHeight="1" x14ac:dyDescent="0.25"/>
    <row r="187" s="13" customFormat="1" ht="18" customHeight="1" x14ac:dyDescent="0.25"/>
    <row r="188" s="13" customFormat="1" ht="18" customHeight="1" x14ac:dyDescent="0.25"/>
    <row r="189" s="13" customFormat="1" ht="18" customHeight="1" x14ac:dyDescent="0.25"/>
    <row r="190" s="13" customFormat="1" ht="18" customHeight="1" x14ac:dyDescent="0.25"/>
    <row r="191" s="13" customFormat="1" ht="18" customHeight="1" x14ac:dyDescent="0.25"/>
    <row r="192" s="13" customFormat="1" ht="18" customHeight="1" x14ac:dyDescent="0.25"/>
    <row r="193" s="13" customFormat="1" ht="18" customHeight="1" x14ac:dyDescent="0.25"/>
    <row r="194" s="13" customFormat="1" ht="18" customHeight="1" x14ac:dyDescent="0.25"/>
    <row r="195" s="13" customFormat="1" ht="18" customHeight="1" x14ac:dyDescent="0.25"/>
    <row r="196" s="13" customFormat="1" ht="18" customHeight="1" x14ac:dyDescent="0.25"/>
    <row r="197" s="13" customFormat="1" ht="18" customHeight="1" x14ac:dyDescent="0.25"/>
    <row r="198" s="13" customFormat="1" ht="18" customHeight="1" x14ac:dyDescent="0.25"/>
    <row r="199" s="13" customFormat="1" ht="18" customHeight="1" x14ac:dyDescent="0.25"/>
    <row r="200" s="13" customFormat="1" ht="18" customHeight="1" x14ac:dyDescent="0.25"/>
    <row r="201" s="13" customFormat="1" ht="18" customHeight="1" x14ac:dyDescent="0.25"/>
    <row r="202" s="13" customFormat="1" ht="18" customHeight="1" x14ac:dyDescent="0.25"/>
    <row r="203" s="13" customFormat="1" ht="18" customHeight="1" x14ac:dyDescent="0.25"/>
    <row r="204" s="13" customFormat="1" ht="18" customHeight="1" x14ac:dyDescent="0.25"/>
    <row r="205" s="13" customFormat="1" ht="18" customHeight="1" x14ac:dyDescent="0.25"/>
    <row r="206" s="13" customFormat="1" ht="18" customHeight="1" x14ac:dyDescent="0.25"/>
    <row r="207" s="13" customFormat="1" ht="18" customHeight="1" x14ac:dyDescent="0.25"/>
    <row r="208" s="13" customFormat="1" ht="18" customHeight="1" x14ac:dyDescent="0.25"/>
    <row r="209" s="13" customFormat="1" ht="18" customHeight="1" x14ac:dyDescent="0.25"/>
    <row r="210" s="13" customFormat="1" ht="18" customHeight="1" x14ac:dyDescent="0.25"/>
    <row r="211" s="13" customFormat="1" ht="18" customHeight="1" x14ac:dyDescent="0.25"/>
    <row r="212" s="13" customFormat="1" ht="18" customHeight="1" x14ac:dyDescent="0.25"/>
    <row r="213" s="13" customFormat="1" ht="18" customHeight="1" x14ac:dyDescent="0.25"/>
    <row r="214" s="13" customFormat="1" ht="18" customHeight="1" x14ac:dyDescent="0.25"/>
    <row r="215" s="13" customFormat="1" ht="18" customHeight="1" x14ac:dyDescent="0.25"/>
    <row r="216" s="13" customFormat="1" ht="18" customHeight="1" x14ac:dyDescent="0.25"/>
    <row r="217" s="13" customFormat="1" ht="18" customHeight="1" x14ac:dyDescent="0.25"/>
    <row r="218" s="13" customFormat="1" ht="18" customHeight="1" x14ac:dyDescent="0.25"/>
    <row r="219" s="13" customFormat="1" ht="18" customHeight="1" x14ac:dyDescent="0.25"/>
    <row r="220" s="13" customFormat="1" ht="18" customHeight="1" x14ac:dyDescent="0.25"/>
    <row r="221" s="13" customFormat="1" ht="18" customHeight="1" x14ac:dyDescent="0.25"/>
    <row r="222" s="13" customFormat="1" ht="18" customHeight="1" x14ac:dyDescent="0.25"/>
    <row r="223" s="13" customFormat="1" ht="18" customHeight="1" x14ac:dyDescent="0.25"/>
    <row r="224" s="13" customFormat="1" ht="18" customHeight="1" x14ac:dyDescent="0.25"/>
    <row r="225" s="13" customFormat="1" ht="18" customHeight="1" x14ac:dyDescent="0.25"/>
    <row r="226" s="13" customFormat="1" ht="18" customHeight="1" x14ac:dyDescent="0.25"/>
    <row r="227" s="13" customFormat="1" ht="18" customHeight="1" x14ac:dyDescent="0.25"/>
    <row r="228" s="13" customFormat="1" ht="18" customHeight="1" x14ac:dyDescent="0.25"/>
    <row r="229" s="13" customFormat="1" ht="18" customHeight="1" x14ac:dyDescent="0.25"/>
    <row r="230" s="13" customFormat="1" ht="18" customHeight="1" x14ac:dyDescent="0.25"/>
    <row r="231" s="13" customFormat="1" ht="18" customHeight="1" x14ac:dyDescent="0.25"/>
    <row r="232" s="13" customFormat="1" ht="18" customHeight="1" x14ac:dyDescent="0.25"/>
    <row r="233" s="13" customFormat="1" ht="18" customHeight="1" x14ac:dyDescent="0.25"/>
    <row r="234" s="13" customFormat="1" ht="18" customHeight="1" x14ac:dyDescent="0.25"/>
    <row r="235" s="13" customFormat="1" ht="18" customHeight="1" x14ac:dyDescent="0.25"/>
    <row r="236" s="13" customFormat="1" ht="18" customHeight="1" x14ac:dyDescent="0.25"/>
    <row r="237" s="13" customFormat="1" ht="18" customHeight="1" x14ac:dyDescent="0.25"/>
    <row r="238" s="13" customFormat="1" ht="18" customHeight="1" x14ac:dyDescent="0.25"/>
    <row r="239" s="13" customFormat="1" ht="18" customHeight="1" x14ac:dyDescent="0.25"/>
    <row r="240" s="13" customFormat="1" ht="18" customHeight="1" x14ac:dyDescent="0.25"/>
    <row r="241" s="13" customFormat="1" ht="18" customHeight="1" x14ac:dyDescent="0.25"/>
    <row r="242" s="13" customFormat="1" ht="18" customHeight="1" x14ac:dyDescent="0.25"/>
    <row r="243" s="13" customFormat="1" ht="18" customHeight="1" x14ac:dyDescent="0.25"/>
    <row r="244" s="13" customFormat="1" ht="18" customHeight="1" x14ac:dyDescent="0.25"/>
    <row r="245" s="13" customFormat="1" ht="18" customHeight="1" x14ac:dyDescent="0.25"/>
    <row r="246" s="13" customFormat="1" ht="18" customHeight="1" x14ac:dyDescent="0.25"/>
    <row r="247" s="13" customFormat="1" ht="18" customHeight="1" x14ac:dyDescent="0.25"/>
    <row r="248" s="13" customFormat="1" ht="18" customHeight="1" x14ac:dyDescent="0.25"/>
    <row r="249" s="13" customFormat="1" ht="18" customHeight="1" x14ac:dyDescent="0.25"/>
    <row r="250" s="13" customFormat="1" ht="18" customHeight="1" x14ac:dyDescent="0.25"/>
    <row r="251" s="13" customFormat="1" ht="18" customHeight="1" x14ac:dyDescent="0.25"/>
    <row r="252" s="13" customFormat="1" ht="18" customHeight="1" x14ac:dyDescent="0.25"/>
    <row r="253" s="13" customFormat="1" ht="18" customHeight="1" x14ac:dyDescent="0.25"/>
    <row r="254" s="13" customFormat="1" ht="18" customHeight="1" x14ac:dyDescent="0.25"/>
    <row r="255" s="13" customFormat="1" ht="18" customHeight="1" x14ac:dyDescent="0.25"/>
    <row r="256" s="13" customFormat="1" ht="18" customHeight="1" x14ac:dyDescent="0.25"/>
    <row r="257" s="13" customFormat="1" ht="18" customHeight="1" x14ac:dyDescent="0.25"/>
    <row r="258" s="13" customFormat="1" ht="18" customHeight="1" x14ac:dyDescent="0.25"/>
    <row r="259" s="13" customFormat="1" ht="18" customHeight="1" x14ac:dyDescent="0.25"/>
    <row r="260" s="13" customFormat="1" ht="18" customHeight="1" x14ac:dyDescent="0.25"/>
    <row r="261" s="13" customFormat="1" ht="18" customHeight="1" x14ac:dyDescent="0.25"/>
    <row r="262" s="13" customFormat="1" ht="18" customHeight="1" x14ac:dyDescent="0.25"/>
    <row r="263" s="13" customFormat="1" ht="18" customHeight="1" x14ac:dyDescent="0.25"/>
    <row r="264" s="13" customFormat="1" ht="18" customHeight="1" x14ac:dyDescent="0.25"/>
    <row r="265" s="13" customFormat="1" ht="18" customHeight="1" x14ac:dyDescent="0.25"/>
    <row r="266" s="13" customFormat="1" ht="18" customHeight="1" x14ac:dyDescent="0.25"/>
    <row r="267" s="13" customFormat="1" ht="18" customHeight="1" x14ac:dyDescent="0.25"/>
    <row r="268" s="13" customFormat="1" ht="18" customHeight="1" x14ac:dyDescent="0.25"/>
    <row r="269" s="13" customFormat="1" ht="18" customHeight="1" x14ac:dyDescent="0.25"/>
    <row r="270" s="13" customFormat="1" ht="18" customHeight="1" x14ac:dyDescent="0.25"/>
    <row r="271" s="13" customFormat="1" ht="18" customHeight="1" x14ac:dyDescent="0.25"/>
    <row r="272" s="13" customFormat="1" ht="18" customHeight="1" x14ac:dyDescent="0.25"/>
    <row r="273" s="13" customFormat="1" ht="18" customHeight="1" x14ac:dyDescent="0.25"/>
    <row r="274" s="13" customFormat="1" ht="18" customHeight="1" x14ac:dyDescent="0.25"/>
    <row r="275" s="13" customFormat="1" ht="18" customHeight="1" x14ac:dyDescent="0.25"/>
    <row r="276" s="13" customFormat="1" ht="18" customHeight="1" x14ac:dyDescent="0.25"/>
    <row r="277" s="13" customFormat="1" ht="18" customHeight="1" x14ac:dyDescent="0.25"/>
    <row r="278" s="13" customFormat="1" ht="18" customHeight="1" x14ac:dyDescent="0.25"/>
    <row r="279" s="13" customFormat="1" ht="18" customHeight="1" x14ac:dyDescent="0.25"/>
    <row r="280" s="13" customFormat="1" ht="18" customHeight="1" x14ac:dyDescent="0.25"/>
    <row r="281" s="13" customFormat="1" ht="18" customHeight="1" x14ac:dyDescent="0.25"/>
    <row r="282" s="13" customFormat="1" ht="18" customHeight="1" x14ac:dyDescent="0.25"/>
    <row r="283" s="13" customFormat="1" ht="18" customHeight="1" x14ac:dyDescent="0.25"/>
    <row r="284" s="13" customFormat="1" ht="18" customHeight="1" x14ac:dyDescent="0.25"/>
    <row r="285" s="13" customFormat="1" ht="18" customHeight="1" x14ac:dyDescent="0.25"/>
    <row r="286" s="13" customFormat="1" ht="18" customHeight="1" x14ac:dyDescent="0.25"/>
    <row r="287" s="13" customFormat="1" ht="18" customHeight="1" x14ac:dyDescent="0.25"/>
    <row r="288" s="13" customFormat="1" ht="18" customHeight="1" x14ac:dyDescent="0.25"/>
    <row r="289" s="13" customFormat="1" ht="18" customHeight="1" x14ac:dyDescent="0.25"/>
    <row r="290" s="13" customFormat="1" ht="18" customHeight="1" x14ac:dyDescent="0.25"/>
    <row r="291" s="13" customFormat="1" ht="18" customHeight="1" x14ac:dyDescent="0.25"/>
    <row r="292" s="13" customFormat="1" ht="18" customHeight="1" x14ac:dyDescent="0.25"/>
    <row r="293" s="13" customFormat="1" ht="18" customHeight="1" x14ac:dyDescent="0.25"/>
    <row r="294" s="13" customFormat="1" ht="18" customHeight="1" x14ac:dyDescent="0.25"/>
    <row r="295" s="13" customFormat="1" ht="18" customHeight="1" x14ac:dyDescent="0.25"/>
    <row r="296" s="13" customFormat="1" ht="18" customHeight="1" x14ac:dyDescent="0.25"/>
    <row r="297" s="13" customFormat="1" ht="18" customHeight="1" x14ac:dyDescent="0.25"/>
    <row r="298" s="13" customFormat="1" ht="18" customHeight="1" x14ac:dyDescent="0.25"/>
    <row r="299" s="13" customFormat="1" ht="18" customHeight="1" x14ac:dyDescent="0.25"/>
    <row r="300" s="13" customFormat="1" ht="18" customHeight="1" x14ac:dyDescent="0.25"/>
    <row r="301" s="13" customFormat="1" ht="18" customHeight="1" x14ac:dyDescent="0.25"/>
    <row r="302" s="13" customFormat="1" ht="18" customHeight="1" x14ac:dyDescent="0.25"/>
    <row r="303" s="13" customFormat="1" ht="18" customHeight="1" x14ac:dyDescent="0.25"/>
    <row r="304" s="13" customFormat="1" ht="18" customHeight="1" x14ac:dyDescent="0.25"/>
    <row r="305" s="13" customFormat="1" ht="18" customHeight="1" x14ac:dyDescent="0.25"/>
    <row r="306" s="13" customFormat="1" ht="18" customHeight="1" x14ac:dyDescent="0.25"/>
    <row r="307" s="13" customFormat="1" ht="18" customHeight="1" x14ac:dyDescent="0.25"/>
    <row r="308" s="13" customFormat="1" ht="18" customHeight="1" x14ac:dyDescent="0.25"/>
    <row r="309" s="13" customFormat="1" ht="18" customHeight="1" x14ac:dyDescent="0.25"/>
    <row r="310" s="13" customFormat="1" ht="18" customHeight="1" x14ac:dyDescent="0.25"/>
    <row r="311" s="13" customFormat="1" ht="18" customHeight="1" x14ac:dyDescent="0.25"/>
    <row r="312" s="13" customFormat="1" ht="18" customHeight="1" x14ac:dyDescent="0.25"/>
    <row r="313" s="13" customFormat="1" ht="18" customHeight="1" x14ac:dyDescent="0.25"/>
    <row r="314" s="13" customFormat="1" ht="18" customHeight="1" x14ac:dyDescent="0.25"/>
    <row r="315" s="13" customFormat="1" ht="18" customHeight="1" x14ac:dyDescent="0.25"/>
    <row r="316" s="13" customFormat="1" ht="18" customHeight="1" x14ac:dyDescent="0.25"/>
    <row r="317" s="13" customFormat="1" ht="18" customHeight="1" x14ac:dyDescent="0.25"/>
    <row r="318" s="13" customFormat="1" ht="18" customHeight="1" x14ac:dyDescent="0.25"/>
    <row r="319" s="13" customFormat="1" ht="18" customHeight="1" x14ac:dyDescent="0.25"/>
    <row r="320" s="13" customFormat="1" ht="18" customHeight="1" x14ac:dyDescent="0.25"/>
    <row r="321" s="13" customFormat="1" ht="18" customHeight="1" x14ac:dyDescent="0.25"/>
    <row r="322" s="13" customFormat="1" ht="18" customHeight="1" x14ac:dyDescent="0.25"/>
    <row r="323" s="13" customFormat="1" ht="18" customHeight="1" x14ac:dyDescent="0.25"/>
    <row r="324" s="13" customFormat="1" ht="18" customHeight="1" x14ac:dyDescent="0.25"/>
    <row r="325" s="13" customFormat="1" ht="18" customHeight="1" x14ac:dyDescent="0.25"/>
    <row r="326" s="13" customFormat="1" ht="18" customHeight="1" x14ac:dyDescent="0.25"/>
    <row r="327" s="13" customFormat="1" ht="18" customHeight="1" x14ac:dyDescent="0.25"/>
    <row r="328" s="13" customFormat="1" ht="18" customHeight="1" x14ac:dyDescent="0.25"/>
    <row r="329" s="13" customFormat="1" ht="18" customHeight="1" x14ac:dyDescent="0.25"/>
    <row r="330" s="13" customFormat="1" ht="18" customHeight="1" x14ac:dyDescent="0.25"/>
    <row r="331" s="13" customFormat="1" ht="18" customHeight="1" x14ac:dyDescent="0.25"/>
    <row r="332" s="13" customFormat="1" ht="18" customHeight="1" x14ac:dyDescent="0.25"/>
    <row r="333" s="13" customFormat="1" ht="18" customHeight="1" x14ac:dyDescent="0.25"/>
    <row r="334" s="13" customFormat="1" ht="18" customHeight="1" x14ac:dyDescent="0.25"/>
    <row r="335" s="13" customFormat="1" ht="18" customHeight="1" x14ac:dyDescent="0.25"/>
    <row r="336" s="13" customFormat="1" ht="18" customHeight="1" x14ac:dyDescent="0.25"/>
    <row r="337" s="13" customFormat="1" ht="18" customHeight="1" x14ac:dyDescent="0.25"/>
    <row r="338" s="13" customFormat="1" ht="18" customHeight="1" x14ac:dyDescent="0.25"/>
    <row r="339" s="13" customFormat="1" ht="18" customHeight="1" x14ac:dyDescent="0.25"/>
    <row r="340" s="13" customFormat="1" ht="18" customHeight="1" x14ac:dyDescent="0.25"/>
    <row r="341" s="13" customFormat="1" ht="18" customHeight="1" x14ac:dyDescent="0.25"/>
    <row r="342" s="13" customFormat="1" ht="18" customHeight="1" x14ac:dyDescent="0.25"/>
    <row r="343" s="13" customFormat="1" ht="18" customHeight="1" x14ac:dyDescent="0.25"/>
    <row r="344" s="13" customFormat="1" ht="18" customHeight="1" x14ac:dyDescent="0.25"/>
    <row r="345" s="13" customFormat="1" ht="18" customHeight="1" x14ac:dyDescent="0.25"/>
    <row r="346" s="13" customFormat="1" ht="18" customHeight="1" x14ac:dyDescent="0.25"/>
    <row r="347" s="13" customFormat="1" ht="18" customHeight="1" x14ac:dyDescent="0.25"/>
    <row r="348" s="13" customFormat="1" ht="18" customHeight="1" x14ac:dyDescent="0.25"/>
    <row r="349" s="13" customFormat="1" ht="18" customHeight="1" x14ac:dyDescent="0.25"/>
    <row r="350" s="13" customFormat="1" ht="18" customHeight="1" x14ac:dyDescent="0.25"/>
    <row r="351" s="13" customFormat="1" ht="18" customHeight="1" x14ac:dyDescent="0.25"/>
    <row r="352" s="13" customFormat="1" ht="18" customHeight="1" x14ac:dyDescent="0.25"/>
    <row r="353" s="13" customFormat="1" ht="18" customHeight="1" x14ac:dyDescent="0.25"/>
    <row r="354" s="13" customFormat="1" ht="18" customHeight="1" x14ac:dyDescent="0.25"/>
    <row r="355" s="13" customFormat="1" ht="18" customHeight="1" x14ac:dyDescent="0.25"/>
    <row r="356" s="13" customFormat="1" ht="18" customHeight="1" x14ac:dyDescent="0.25"/>
    <row r="357" s="13" customFormat="1" ht="18" customHeight="1" x14ac:dyDescent="0.25"/>
    <row r="358" s="13" customFormat="1" ht="18" customHeight="1" x14ac:dyDescent="0.25"/>
    <row r="359" s="13" customFormat="1" ht="18" customHeight="1" x14ac:dyDescent="0.25"/>
    <row r="360" s="13" customFormat="1" ht="18" customHeight="1" x14ac:dyDescent="0.25"/>
    <row r="361" s="13" customFormat="1" ht="18" customHeight="1" x14ac:dyDescent="0.25"/>
    <row r="362" s="13" customFormat="1" ht="18" customHeight="1" x14ac:dyDescent="0.25"/>
    <row r="363" s="13" customFormat="1" ht="18" customHeight="1" x14ac:dyDescent="0.25"/>
    <row r="364" s="13" customFormat="1" ht="18" customHeight="1" x14ac:dyDescent="0.25"/>
    <row r="365" s="13" customFormat="1" ht="18" customHeight="1" x14ac:dyDescent="0.25"/>
    <row r="366" s="13" customFormat="1" ht="18" customHeight="1" x14ac:dyDescent="0.25"/>
    <row r="367" s="13" customFormat="1" ht="18" customHeight="1" x14ac:dyDescent="0.25"/>
    <row r="368" s="13" customFormat="1" ht="18" customHeight="1" x14ac:dyDescent="0.25"/>
    <row r="369" s="13" customFormat="1" ht="18" customHeight="1" x14ac:dyDescent="0.25"/>
    <row r="370" s="13" customFormat="1" ht="18" customHeight="1" x14ac:dyDescent="0.25"/>
    <row r="371" s="13" customFormat="1" ht="18" customHeight="1" x14ac:dyDescent="0.25"/>
    <row r="372" s="13" customFormat="1" ht="18" customHeight="1" x14ac:dyDescent="0.25"/>
    <row r="373" s="13" customFormat="1" ht="18" customHeight="1" x14ac:dyDescent="0.25"/>
    <row r="374" s="13" customFormat="1" ht="18" customHeight="1" x14ac:dyDescent="0.25"/>
    <row r="375" s="13" customFormat="1" ht="18" customHeight="1" x14ac:dyDescent="0.25"/>
    <row r="376" s="13" customFormat="1" ht="18" customHeight="1" x14ac:dyDescent="0.25"/>
    <row r="377" s="13" customFormat="1" ht="18" customHeight="1" x14ac:dyDescent="0.25"/>
    <row r="378" s="13" customFormat="1" ht="18" customHeight="1" x14ac:dyDescent="0.25"/>
    <row r="379" s="13" customFormat="1" ht="18" customHeight="1" x14ac:dyDescent="0.25"/>
    <row r="380" s="13" customFormat="1" ht="18" customHeight="1" x14ac:dyDescent="0.25"/>
    <row r="381" s="13" customFormat="1" ht="18" customHeight="1" x14ac:dyDescent="0.25"/>
    <row r="382" s="13" customFormat="1" ht="18" customHeight="1" x14ac:dyDescent="0.25"/>
    <row r="383" s="13" customFormat="1" ht="18" customHeight="1" x14ac:dyDescent="0.25"/>
    <row r="384" s="13" customFormat="1" ht="18" customHeight="1" x14ac:dyDescent="0.25"/>
    <row r="385" s="13" customFormat="1" ht="18" customHeight="1" x14ac:dyDescent="0.25"/>
    <row r="386" s="13" customFormat="1" ht="18" customHeight="1" x14ac:dyDescent="0.25"/>
    <row r="387" s="13" customFormat="1" ht="18" customHeight="1" x14ac:dyDescent="0.25"/>
    <row r="388" s="13" customFormat="1" ht="18" customHeight="1" x14ac:dyDescent="0.25"/>
    <row r="389" s="13" customFormat="1" ht="18" customHeight="1" x14ac:dyDescent="0.25"/>
    <row r="390" s="13" customFormat="1" ht="18" customHeight="1" x14ac:dyDescent="0.25"/>
    <row r="391" s="13" customFormat="1" ht="18" customHeight="1" x14ac:dyDescent="0.25"/>
    <row r="392" s="13" customFormat="1" ht="18" customHeight="1" x14ac:dyDescent="0.25"/>
    <row r="393" s="13" customFormat="1" ht="18" customHeight="1" x14ac:dyDescent="0.25"/>
    <row r="394" s="13" customFormat="1" ht="18" customHeight="1" x14ac:dyDescent="0.25"/>
    <row r="395" s="13" customFormat="1" ht="18" customHeight="1" x14ac:dyDescent="0.25"/>
    <row r="396" s="13" customFormat="1" ht="18" customHeight="1" x14ac:dyDescent="0.25"/>
    <row r="397" s="13" customFormat="1" ht="18" customHeight="1" x14ac:dyDescent="0.25"/>
    <row r="398" s="13" customFormat="1" ht="18" customHeight="1" x14ac:dyDescent="0.25"/>
    <row r="399" s="13" customFormat="1" ht="18" customHeight="1" x14ac:dyDescent="0.25"/>
    <row r="400" s="13" customFormat="1" ht="18" customHeight="1" x14ac:dyDescent="0.25"/>
    <row r="401" s="13" customFormat="1" ht="18" customHeight="1" x14ac:dyDescent="0.25"/>
    <row r="402" s="13" customFormat="1" ht="18" customHeight="1" x14ac:dyDescent="0.25"/>
    <row r="403" s="13" customFormat="1" ht="18" customHeight="1" x14ac:dyDescent="0.25"/>
    <row r="404" s="13" customFormat="1" ht="18" customHeight="1" x14ac:dyDescent="0.25"/>
    <row r="405" s="13" customFormat="1" ht="18" customHeight="1" x14ac:dyDescent="0.25"/>
    <row r="406" s="13" customFormat="1" ht="18" customHeight="1" x14ac:dyDescent="0.25"/>
    <row r="407" s="13" customFormat="1" ht="18" customHeight="1" x14ac:dyDescent="0.25"/>
    <row r="408" s="13" customFormat="1" ht="18" customHeight="1" x14ac:dyDescent="0.25"/>
    <row r="409" s="13" customFormat="1" ht="18" customHeight="1" x14ac:dyDescent="0.25"/>
    <row r="410" s="13" customFormat="1" ht="18" customHeight="1" x14ac:dyDescent="0.25"/>
    <row r="411" s="13" customFormat="1" ht="18" customHeight="1" x14ac:dyDescent="0.25"/>
    <row r="412" s="13" customFormat="1" ht="18" customHeight="1" x14ac:dyDescent="0.25"/>
    <row r="413" s="13" customFormat="1" ht="18" customHeight="1" x14ac:dyDescent="0.25"/>
    <row r="414" s="13" customFormat="1" ht="18" customHeight="1" x14ac:dyDescent="0.25"/>
    <row r="415" s="13" customFormat="1" ht="18" customHeight="1" x14ac:dyDescent="0.25"/>
    <row r="416" s="13" customFormat="1" ht="18" customHeight="1" x14ac:dyDescent="0.25"/>
    <row r="417" s="13" customFormat="1" ht="18" customHeight="1" x14ac:dyDescent="0.25"/>
    <row r="418" s="13" customFormat="1" ht="18" customHeight="1" x14ac:dyDescent="0.25"/>
    <row r="419" s="13" customFormat="1" ht="18" customHeight="1" x14ac:dyDescent="0.25"/>
    <row r="420" s="13" customFormat="1" ht="18" customHeight="1" x14ac:dyDescent="0.25"/>
    <row r="421" s="13" customFormat="1" ht="18" customHeight="1" x14ac:dyDescent="0.25"/>
    <row r="422" s="13" customFormat="1" ht="18" customHeight="1" x14ac:dyDescent="0.25"/>
    <row r="423" s="13" customFormat="1" ht="18" customHeight="1" x14ac:dyDescent="0.25"/>
    <row r="424" s="13" customFormat="1" ht="18" customHeight="1" x14ac:dyDescent="0.25"/>
    <row r="425" s="13" customFormat="1" ht="18" customHeight="1" x14ac:dyDescent="0.25"/>
    <row r="426" s="13" customFormat="1" ht="18" customHeight="1" x14ac:dyDescent="0.25"/>
    <row r="427" s="13" customFormat="1" ht="18" customHeight="1" x14ac:dyDescent="0.25"/>
    <row r="428" s="13" customFormat="1" ht="18" customHeight="1" x14ac:dyDescent="0.25"/>
    <row r="429" s="13" customFormat="1" ht="18" customHeight="1" x14ac:dyDescent="0.25"/>
    <row r="430" s="13" customFormat="1" ht="18" customHeight="1" x14ac:dyDescent="0.25"/>
    <row r="431" s="13" customFormat="1" ht="18" customHeight="1" x14ac:dyDescent="0.25"/>
    <row r="432" s="13" customFormat="1" ht="18" customHeight="1" x14ac:dyDescent="0.25"/>
    <row r="433" s="13" customFormat="1" ht="18" customHeight="1" x14ac:dyDescent="0.25"/>
    <row r="434" s="13" customFormat="1" ht="18" customHeight="1" x14ac:dyDescent="0.25"/>
    <row r="435" s="13" customFormat="1" ht="18" customHeight="1" x14ac:dyDescent="0.25"/>
    <row r="436" s="13" customFormat="1" ht="18" customHeight="1" x14ac:dyDescent="0.25"/>
    <row r="437" s="13" customFormat="1" ht="18" customHeight="1" x14ac:dyDescent="0.25"/>
    <row r="438" s="13" customFormat="1" ht="18" customHeight="1" x14ac:dyDescent="0.25"/>
    <row r="439" s="13" customFormat="1" ht="18" customHeight="1" x14ac:dyDescent="0.25"/>
    <row r="440" s="13" customFormat="1" ht="18" customHeight="1" x14ac:dyDescent="0.25"/>
    <row r="441" s="13" customFormat="1" ht="18" customHeight="1" x14ac:dyDescent="0.25"/>
    <row r="442" s="13" customFormat="1" ht="18" customHeight="1" x14ac:dyDescent="0.25"/>
    <row r="443" s="13" customFormat="1" ht="18" customHeight="1" x14ac:dyDescent="0.25"/>
    <row r="444" s="13" customFormat="1" ht="18" customHeight="1" x14ac:dyDescent="0.25"/>
    <row r="445" s="13" customFormat="1" ht="18" customHeight="1" x14ac:dyDescent="0.25"/>
    <row r="446" s="13" customFormat="1" ht="18" customHeight="1" x14ac:dyDescent="0.25"/>
    <row r="447" s="13" customFormat="1" ht="18" customHeight="1" x14ac:dyDescent="0.25"/>
    <row r="448" s="13" customFormat="1" ht="18" customHeight="1" x14ac:dyDescent="0.25"/>
    <row r="449" s="13" customFormat="1" ht="18" customHeight="1" x14ac:dyDescent="0.25"/>
    <row r="450" s="13" customFormat="1" ht="18" customHeight="1" x14ac:dyDescent="0.25"/>
    <row r="451" s="13" customFormat="1" ht="18" customHeight="1" x14ac:dyDescent="0.25"/>
    <row r="452" s="13" customFormat="1" ht="18" customHeight="1" x14ac:dyDescent="0.25"/>
    <row r="453" s="13" customFormat="1" ht="18" customHeight="1" x14ac:dyDescent="0.25"/>
    <row r="454" s="13" customFormat="1" ht="18" customHeight="1" x14ac:dyDescent="0.25"/>
    <row r="455" s="13" customFormat="1" ht="18" customHeight="1" x14ac:dyDescent="0.25"/>
    <row r="456" s="13" customFormat="1" ht="18" customHeight="1" x14ac:dyDescent="0.25"/>
    <row r="457" s="13" customFormat="1" ht="18" customHeight="1" x14ac:dyDescent="0.25"/>
    <row r="458" s="13" customFormat="1" ht="18" customHeight="1" x14ac:dyDescent="0.25"/>
    <row r="459" s="13" customFormat="1" ht="18" customHeight="1" x14ac:dyDescent="0.25"/>
    <row r="460" s="13" customFormat="1" ht="18" customHeight="1" x14ac:dyDescent="0.25"/>
    <row r="461" s="13" customFormat="1" ht="18" customHeight="1" x14ac:dyDescent="0.25"/>
    <row r="462" s="13" customFormat="1" ht="18" customHeight="1" x14ac:dyDescent="0.25"/>
    <row r="463" s="13" customFormat="1" ht="18" customHeight="1" x14ac:dyDescent="0.25"/>
    <row r="464" s="13" customFormat="1" ht="18" customHeight="1" x14ac:dyDescent="0.25"/>
    <row r="465" s="13" customFormat="1" ht="18" customHeight="1" x14ac:dyDescent="0.25"/>
    <row r="466" s="13" customFormat="1" ht="18" customHeight="1" x14ac:dyDescent="0.25"/>
    <row r="467" s="13" customFormat="1" ht="18" customHeight="1" x14ac:dyDescent="0.25"/>
    <row r="468" s="13" customFormat="1" ht="18" customHeight="1" x14ac:dyDescent="0.25"/>
    <row r="469" s="13" customFormat="1" ht="18" customHeight="1" x14ac:dyDescent="0.25"/>
    <row r="470" s="13" customFormat="1" ht="18" customHeight="1" x14ac:dyDescent="0.25"/>
    <row r="471" s="13" customFormat="1" ht="18" customHeight="1" x14ac:dyDescent="0.25"/>
    <row r="472" s="13" customFormat="1" ht="18" customHeight="1" x14ac:dyDescent="0.25"/>
    <row r="473" s="13" customFormat="1" ht="18" customHeight="1" x14ac:dyDescent="0.25"/>
    <row r="474" s="13" customFormat="1" ht="18" customHeight="1" x14ac:dyDescent="0.25"/>
    <row r="475" s="13" customFormat="1" ht="18" customHeight="1" x14ac:dyDescent="0.25"/>
    <row r="476" s="13" customFormat="1" ht="18" customHeight="1" x14ac:dyDescent="0.25"/>
    <row r="477" s="13" customFormat="1" ht="18" customHeight="1" x14ac:dyDescent="0.25"/>
    <row r="478" s="13" customFormat="1" ht="18" customHeight="1" x14ac:dyDescent="0.25"/>
    <row r="479" s="13" customFormat="1" ht="18" customHeight="1" x14ac:dyDescent="0.25"/>
    <row r="480" s="13" customFormat="1" ht="18" customHeight="1" x14ac:dyDescent="0.25"/>
    <row r="481" s="13" customFormat="1" ht="18" customHeight="1" x14ac:dyDescent="0.25"/>
    <row r="482" s="13" customFormat="1" ht="18" customHeight="1" x14ac:dyDescent="0.25"/>
    <row r="483" s="13" customFormat="1" ht="18" customHeight="1" x14ac:dyDescent="0.25"/>
    <row r="484" s="13" customFormat="1" ht="18" customHeight="1" x14ac:dyDescent="0.25"/>
    <row r="485" s="13" customFormat="1" ht="18" customHeight="1" x14ac:dyDescent="0.25"/>
    <row r="486" s="13" customFormat="1" ht="18" customHeight="1" x14ac:dyDescent="0.25"/>
    <row r="487" s="13" customFormat="1" ht="18" customHeight="1" x14ac:dyDescent="0.25"/>
    <row r="488" s="13" customFormat="1" ht="18" customHeight="1" x14ac:dyDescent="0.25"/>
    <row r="489" s="13" customFormat="1" ht="18" customHeight="1" x14ac:dyDescent="0.25"/>
    <row r="490" s="13" customFormat="1" ht="18" customHeight="1" x14ac:dyDescent="0.25"/>
    <row r="491" s="13" customFormat="1" ht="18" customHeight="1" x14ac:dyDescent="0.25"/>
    <row r="492" s="13" customFormat="1" ht="18" customHeight="1" x14ac:dyDescent="0.25"/>
    <row r="493" s="13" customFormat="1" ht="18" customHeight="1" x14ac:dyDescent="0.25"/>
    <row r="494" s="13" customFormat="1" ht="18" customHeight="1" x14ac:dyDescent="0.25"/>
    <row r="495" s="13" customFormat="1" ht="18" customHeight="1" x14ac:dyDescent="0.25"/>
    <row r="496" s="13" customFormat="1" ht="18" customHeight="1" x14ac:dyDescent="0.25"/>
    <row r="497" s="13" customFormat="1" ht="18" customHeight="1" x14ac:dyDescent="0.25"/>
    <row r="498" s="13" customFormat="1" ht="18" customHeight="1" x14ac:dyDescent="0.25"/>
    <row r="499" s="13" customFormat="1" ht="18" customHeight="1" x14ac:dyDescent="0.25"/>
    <row r="500" s="13" customFormat="1" ht="18" customHeight="1" x14ac:dyDescent="0.25"/>
    <row r="501" s="13" customFormat="1" ht="18" customHeight="1" x14ac:dyDescent="0.25"/>
    <row r="502" s="13" customFormat="1" ht="18" customHeight="1" x14ac:dyDescent="0.25"/>
    <row r="503" s="13" customFormat="1" ht="18" customHeight="1" x14ac:dyDescent="0.25"/>
    <row r="504" s="13" customFormat="1" ht="18" customHeight="1" x14ac:dyDescent="0.25"/>
    <row r="505" s="13" customFormat="1" ht="18" customHeight="1" x14ac:dyDescent="0.25"/>
    <row r="506" s="13" customFormat="1" ht="18" customHeight="1" x14ac:dyDescent="0.25"/>
    <row r="507" s="13" customFormat="1" ht="18" customHeight="1" x14ac:dyDescent="0.25"/>
    <row r="508" s="13" customFormat="1" ht="18" customHeight="1" x14ac:dyDescent="0.25"/>
    <row r="509" s="13" customFormat="1" ht="18" customHeight="1" x14ac:dyDescent="0.25"/>
    <row r="510" s="13" customFormat="1" ht="18" customHeight="1" x14ac:dyDescent="0.25"/>
    <row r="511" s="13" customFormat="1" ht="18" customHeight="1" x14ac:dyDescent="0.25"/>
    <row r="512" s="13" customFormat="1" ht="18" customHeight="1" x14ac:dyDescent="0.25"/>
    <row r="513" s="13" customFormat="1" ht="18" customHeight="1" x14ac:dyDescent="0.25"/>
    <row r="514" s="13" customFormat="1" ht="18" customHeight="1" x14ac:dyDescent="0.25"/>
    <row r="515" s="13" customFormat="1" ht="18" customHeight="1" x14ac:dyDescent="0.25"/>
    <row r="516" s="13" customFormat="1" ht="18" customHeight="1" x14ac:dyDescent="0.25"/>
    <row r="517" s="13" customFormat="1" ht="18" customHeight="1" x14ac:dyDescent="0.25"/>
    <row r="518" s="13" customFormat="1" ht="18" customHeight="1" x14ac:dyDescent="0.25"/>
    <row r="519" s="13" customFormat="1" ht="18" customHeight="1" x14ac:dyDescent="0.25"/>
    <row r="520" s="13" customFormat="1" ht="18" customHeight="1" x14ac:dyDescent="0.25"/>
    <row r="521" s="13" customFormat="1" ht="18" customHeight="1" x14ac:dyDescent="0.25"/>
    <row r="522" s="13" customFormat="1" ht="18" customHeight="1" x14ac:dyDescent="0.25"/>
    <row r="523" s="13" customFormat="1" ht="18" customHeight="1" x14ac:dyDescent="0.25"/>
    <row r="524" s="13" customFormat="1" ht="18" customHeight="1" x14ac:dyDescent="0.25"/>
    <row r="525" s="13" customFormat="1" ht="18" customHeight="1" x14ac:dyDescent="0.25"/>
    <row r="526" s="13" customFormat="1" ht="18" customHeight="1" x14ac:dyDescent="0.25"/>
    <row r="527" s="13" customFormat="1" ht="18" customHeight="1" x14ac:dyDescent="0.25"/>
    <row r="528" s="13" customFormat="1" ht="18" customHeight="1" x14ac:dyDescent="0.25"/>
    <row r="529" s="13" customFormat="1" ht="18" customHeight="1" x14ac:dyDescent="0.25"/>
    <row r="530" s="13" customFormat="1" ht="18" customHeight="1" x14ac:dyDescent="0.25"/>
    <row r="531" s="13" customFormat="1" ht="18" customHeight="1" x14ac:dyDescent="0.25"/>
    <row r="532" s="13" customFormat="1" ht="18" customHeight="1" x14ac:dyDescent="0.25"/>
    <row r="533" s="13" customFormat="1" ht="18" customHeight="1" x14ac:dyDescent="0.25"/>
    <row r="534" s="13" customFormat="1" ht="18" customHeight="1" x14ac:dyDescent="0.25"/>
    <row r="535" s="13" customFormat="1" ht="18" customHeight="1" x14ac:dyDescent="0.25"/>
    <row r="536" s="13" customFormat="1" ht="18" customHeight="1" x14ac:dyDescent="0.25"/>
    <row r="537" s="13" customFormat="1" ht="18" customHeight="1" x14ac:dyDescent="0.25"/>
    <row r="538" s="13" customFormat="1" ht="18" customHeight="1" x14ac:dyDescent="0.25"/>
    <row r="539" s="13" customFormat="1" ht="18" customHeight="1" x14ac:dyDescent="0.25"/>
    <row r="540" s="13" customFormat="1" ht="18" customHeight="1" x14ac:dyDescent="0.25"/>
    <row r="541" s="13" customFormat="1" ht="18" customHeight="1" x14ac:dyDescent="0.25"/>
    <row r="542" s="13" customFormat="1" ht="18" customHeight="1" x14ac:dyDescent="0.25"/>
    <row r="543" s="13" customFormat="1" ht="18" customHeight="1" x14ac:dyDescent="0.25"/>
    <row r="544" s="13" customFormat="1" ht="18" customHeight="1" x14ac:dyDescent="0.25"/>
    <row r="545" s="13" customFormat="1" ht="18" customHeight="1" x14ac:dyDescent="0.25"/>
    <row r="546" s="13" customFormat="1" ht="18" customHeight="1" x14ac:dyDescent="0.25"/>
    <row r="547" s="13" customFormat="1" ht="18" customHeight="1" x14ac:dyDescent="0.25"/>
    <row r="548" s="13" customFormat="1" ht="18" customHeight="1" x14ac:dyDescent="0.25"/>
    <row r="549" s="13" customFormat="1" ht="18" customHeight="1" x14ac:dyDescent="0.25"/>
    <row r="550" s="13" customFormat="1" ht="18" customHeight="1" x14ac:dyDescent="0.25"/>
    <row r="551" s="13" customFormat="1" ht="18" customHeight="1" x14ac:dyDescent="0.25"/>
    <row r="552" s="13" customFormat="1" ht="18" customHeight="1" x14ac:dyDescent="0.25"/>
    <row r="553" s="13" customFormat="1" ht="18" customHeight="1" x14ac:dyDescent="0.25"/>
    <row r="554" s="13" customFormat="1" ht="18" customHeight="1" x14ac:dyDescent="0.25"/>
    <row r="555" s="13" customFormat="1" ht="18" customHeight="1" x14ac:dyDescent="0.25"/>
    <row r="556" s="13" customFormat="1" ht="18" customHeight="1" x14ac:dyDescent="0.25"/>
    <row r="557" s="13" customFormat="1" ht="18" customHeight="1" x14ac:dyDescent="0.25"/>
    <row r="558" s="13" customFormat="1" ht="18" customHeight="1" x14ac:dyDescent="0.25"/>
    <row r="559" s="13" customFormat="1" ht="18" customHeight="1" x14ac:dyDescent="0.25"/>
    <row r="560" s="13" customFormat="1" ht="18" customHeight="1" x14ac:dyDescent="0.25"/>
    <row r="561" s="13" customFormat="1" ht="18" customHeight="1" x14ac:dyDescent="0.25"/>
    <row r="562" s="13" customFormat="1" ht="18" customHeight="1" x14ac:dyDescent="0.25"/>
    <row r="563" s="13" customFormat="1" ht="18" customHeight="1" x14ac:dyDescent="0.25"/>
    <row r="564" s="13" customFormat="1" ht="18" customHeight="1" x14ac:dyDescent="0.25"/>
    <row r="565" s="13" customFormat="1" ht="18" customHeight="1" x14ac:dyDescent="0.25"/>
    <row r="566" s="13" customFormat="1" ht="18" customHeight="1" x14ac:dyDescent="0.25"/>
    <row r="567" s="13" customFormat="1" ht="18" customHeight="1" x14ac:dyDescent="0.25"/>
    <row r="568" s="13" customFormat="1" ht="18" customHeight="1" x14ac:dyDescent="0.25"/>
    <row r="569" s="13" customFormat="1" ht="18" customHeight="1" x14ac:dyDescent="0.25"/>
    <row r="570" s="13" customFormat="1" ht="18" customHeight="1" x14ac:dyDescent="0.25"/>
    <row r="571" s="13" customFormat="1" ht="18" customHeight="1" x14ac:dyDescent="0.25"/>
    <row r="572" s="13" customFormat="1" ht="18" customHeight="1" x14ac:dyDescent="0.25"/>
    <row r="573" s="13" customFormat="1" ht="18" customHeight="1" x14ac:dyDescent="0.25"/>
    <row r="574" s="13" customFormat="1" ht="18" customHeight="1" x14ac:dyDescent="0.25"/>
    <row r="575" s="13" customFormat="1" ht="18" customHeight="1" x14ac:dyDescent="0.25"/>
    <row r="576" s="13" customFormat="1" ht="18" customHeight="1" x14ac:dyDescent="0.25"/>
    <row r="577" s="13" customFormat="1" ht="18" customHeight="1" x14ac:dyDescent="0.25"/>
    <row r="578" s="13" customFormat="1" ht="18" customHeight="1" x14ac:dyDescent="0.25"/>
    <row r="579" s="13" customFormat="1" ht="18" customHeight="1" x14ac:dyDescent="0.25"/>
    <row r="580" s="13" customFormat="1" ht="18" customHeight="1" x14ac:dyDescent="0.25"/>
    <row r="581" s="13" customFormat="1" ht="18" customHeight="1" x14ac:dyDescent="0.25"/>
    <row r="582" s="13" customFormat="1" ht="18" customHeight="1" x14ac:dyDescent="0.25"/>
    <row r="583" s="13" customFormat="1" ht="18" customHeight="1" x14ac:dyDescent="0.25"/>
    <row r="584" s="13" customFormat="1" ht="18" customHeight="1" x14ac:dyDescent="0.25"/>
    <row r="585" s="13" customFormat="1" ht="18" customHeight="1" x14ac:dyDescent="0.25"/>
    <row r="586" s="13" customFormat="1" ht="18" customHeight="1" x14ac:dyDescent="0.25"/>
    <row r="587" s="13" customFormat="1" ht="18" customHeight="1" x14ac:dyDescent="0.25"/>
    <row r="588" s="13" customFormat="1" ht="18" customHeight="1" x14ac:dyDescent="0.25"/>
    <row r="589" s="13" customFormat="1" ht="18" customHeight="1" x14ac:dyDescent="0.25"/>
    <row r="590" s="13" customFormat="1" ht="18" customHeight="1" x14ac:dyDescent="0.25"/>
    <row r="591" s="13" customFormat="1" ht="18" customHeight="1" x14ac:dyDescent="0.25"/>
    <row r="592" s="13" customFormat="1" ht="18" customHeight="1" x14ac:dyDescent="0.25"/>
    <row r="593" s="13" customFormat="1" ht="18" customHeight="1" x14ac:dyDescent="0.25"/>
    <row r="594" s="13" customFormat="1" ht="18" customHeight="1" x14ac:dyDescent="0.25"/>
    <row r="595" s="13" customFormat="1" ht="18" customHeight="1" x14ac:dyDescent="0.25"/>
    <row r="596" s="13" customFormat="1" ht="18" customHeight="1" x14ac:dyDescent="0.25"/>
    <row r="597" s="13" customFormat="1" ht="18" customHeight="1" x14ac:dyDescent="0.25"/>
    <row r="598" s="13" customFormat="1" ht="18" customHeight="1" x14ac:dyDescent="0.25"/>
    <row r="599" s="13" customFormat="1" ht="18" customHeight="1" x14ac:dyDescent="0.25"/>
    <row r="600" s="13" customFormat="1" ht="18" customHeight="1" x14ac:dyDescent="0.25"/>
    <row r="601" s="13" customFormat="1" ht="18" customHeight="1" x14ac:dyDescent="0.25"/>
    <row r="602" s="13" customFormat="1" ht="18" customHeight="1" x14ac:dyDescent="0.25"/>
    <row r="603" s="13" customFormat="1" ht="18" customHeight="1" x14ac:dyDescent="0.25"/>
    <row r="604" s="13" customFormat="1" ht="18" customHeight="1" x14ac:dyDescent="0.25"/>
    <row r="605" s="13" customFormat="1" ht="18" customHeight="1" x14ac:dyDescent="0.25"/>
    <row r="606" s="13" customFormat="1" ht="18" customHeight="1" x14ac:dyDescent="0.25"/>
    <row r="607" s="13" customFormat="1" ht="18" customHeight="1" x14ac:dyDescent="0.25"/>
    <row r="608" s="13" customFormat="1" ht="18" customHeight="1" x14ac:dyDescent="0.25"/>
    <row r="609" s="13" customFormat="1" ht="18" customHeight="1" x14ac:dyDescent="0.25"/>
    <row r="610" s="13" customFormat="1" ht="18" customHeight="1" x14ac:dyDescent="0.25"/>
    <row r="611" s="13" customFormat="1" ht="18" customHeight="1" x14ac:dyDescent="0.25"/>
    <row r="612" s="13" customFormat="1" ht="18" customHeight="1" x14ac:dyDescent="0.25"/>
    <row r="613" s="13" customFormat="1" ht="18" customHeight="1" x14ac:dyDescent="0.25"/>
    <row r="614" s="13" customFormat="1" ht="18" customHeight="1" x14ac:dyDescent="0.25"/>
    <row r="615" s="13" customFormat="1" ht="18" customHeight="1" x14ac:dyDescent="0.25"/>
    <row r="616" s="13" customFormat="1" ht="18" customHeight="1" x14ac:dyDescent="0.25"/>
    <row r="617" s="13" customFormat="1" ht="18" customHeight="1" x14ac:dyDescent="0.25"/>
    <row r="618" s="13" customFormat="1" ht="18" customHeight="1" x14ac:dyDescent="0.25"/>
    <row r="619" s="13" customFormat="1" ht="18" customHeight="1" x14ac:dyDescent="0.25"/>
    <row r="620" s="13" customFormat="1" ht="18" customHeight="1" x14ac:dyDescent="0.25"/>
    <row r="621" s="13" customFormat="1" ht="18" customHeight="1" x14ac:dyDescent="0.25"/>
    <row r="622" s="13" customFormat="1" ht="18" customHeight="1" x14ac:dyDescent="0.25"/>
    <row r="623" s="13" customFormat="1" ht="18" customHeight="1" x14ac:dyDescent="0.25"/>
    <row r="624" s="13" customFormat="1" ht="18" customHeight="1" x14ac:dyDescent="0.25"/>
    <row r="625" s="13" customFormat="1" ht="18" customHeight="1" x14ac:dyDescent="0.25"/>
    <row r="626" s="13" customFormat="1" ht="18" customHeight="1" x14ac:dyDescent="0.25"/>
    <row r="627" s="13" customFormat="1" ht="18" customHeight="1" x14ac:dyDescent="0.25"/>
    <row r="628" s="13" customFormat="1" ht="18" customHeight="1" x14ac:dyDescent="0.25"/>
    <row r="629" s="13" customFormat="1" ht="18" customHeight="1" x14ac:dyDescent="0.25"/>
    <row r="630" s="13" customFormat="1" ht="18" customHeight="1" x14ac:dyDescent="0.25"/>
    <row r="631" s="13" customFormat="1" ht="18" customHeight="1" x14ac:dyDescent="0.25"/>
    <row r="632" s="13" customFormat="1" ht="18" customHeight="1" x14ac:dyDescent="0.25"/>
    <row r="633" s="13" customFormat="1" ht="18" customHeight="1" x14ac:dyDescent="0.25"/>
    <row r="634" s="13" customFormat="1" ht="18" customHeight="1" x14ac:dyDescent="0.25"/>
    <row r="635" s="13" customFormat="1" ht="18" customHeight="1" x14ac:dyDescent="0.25"/>
    <row r="636" s="13" customFormat="1" ht="18" customHeight="1" x14ac:dyDescent="0.25"/>
    <row r="637" s="13" customFormat="1" ht="18" customHeight="1" x14ac:dyDescent="0.25"/>
    <row r="638" s="13" customFormat="1" ht="18" customHeight="1" x14ac:dyDescent="0.25"/>
    <row r="639" s="13" customFormat="1" ht="18" customHeight="1" x14ac:dyDescent="0.25"/>
    <row r="640" s="13" customFormat="1" ht="18" customHeight="1" x14ac:dyDescent="0.25"/>
    <row r="641" s="13" customFormat="1" ht="18" customHeight="1" x14ac:dyDescent="0.25"/>
    <row r="642" s="13" customFormat="1" ht="18" customHeight="1" x14ac:dyDescent="0.25"/>
    <row r="643" s="13" customFormat="1" ht="18" customHeight="1" x14ac:dyDescent="0.25"/>
    <row r="644" s="13" customFormat="1" ht="18" customHeight="1" x14ac:dyDescent="0.25"/>
    <row r="645" s="13" customFormat="1" ht="18" customHeight="1" x14ac:dyDescent="0.25"/>
    <row r="646" s="13" customFormat="1" ht="18" customHeight="1" x14ac:dyDescent="0.25"/>
    <row r="647" s="13" customFormat="1" ht="18" customHeight="1" x14ac:dyDescent="0.25"/>
    <row r="648" s="13" customFormat="1" ht="18" customHeight="1" x14ac:dyDescent="0.25"/>
    <row r="649" s="13" customFormat="1" ht="18" customHeight="1" x14ac:dyDescent="0.25"/>
    <row r="650" s="13" customFormat="1" ht="18" customHeight="1" x14ac:dyDescent="0.25"/>
    <row r="651" s="13" customFormat="1" ht="18" customHeight="1" x14ac:dyDescent="0.25"/>
    <row r="652" s="13" customFormat="1" ht="18" customHeight="1" x14ac:dyDescent="0.25"/>
    <row r="653" s="13" customFormat="1" ht="18" customHeight="1" x14ac:dyDescent="0.25"/>
    <row r="654" s="13" customFormat="1" ht="18" customHeight="1" x14ac:dyDescent="0.25"/>
    <row r="655" s="13" customFormat="1" ht="18" customHeight="1" x14ac:dyDescent="0.25"/>
    <row r="656" s="13" customFormat="1" ht="18" customHeight="1" x14ac:dyDescent="0.25"/>
    <row r="657" s="13" customFormat="1" ht="18" customHeight="1" x14ac:dyDescent="0.25"/>
    <row r="658" s="13" customFormat="1" ht="18" customHeight="1" x14ac:dyDescent="0.25"/>
    <row r="659" s="13" customFormat="1" ht="18" customHeight="1" x14ac:dyDescent="0.25"/>
    <row r="660" s="13" customFormat="1" ht="18" customHeight="1" x14ac:dyDescent="0.25"/>
    <row r="661" s="13" customFormat="1" ht="18" customHeight="1" x14ac:dyDescent="0.25"/>
    <row r="662" s="13" customFormat="1" ht="18" customHeight="1" x14ac:dyDescent="0.25"/>
    <row r="663" s="13" customFormat="1" ht="18" customHeight="1" x14ac:dyDescent="0.25"/>
    <row r="664" s="13" customFormat="1" ht="18" customHeight="1" x14ac:dyDescent="0.25"/>
    <row r="665" s="13" customFormat="1" ht="18" customHeight="1" x14ac:dyDescent="0.25"/>
    <row r="666" s="13" customFormat="1" ht="18" customHeight="1" x14ac:dyDescent="0.25"/>
    <row r="667" s="13" customFormat="1" ht="18" customHeight="1" x14ac:dyDescent="0.25"/>
    <row r="668" s="13" customFormat="1" ht="18" customHeight="1" x14ac:dyDescent="0.25"/>
    <row r="669" s="13" customFormat="1" ht="18" customHeight="1" x14ac:dyDescent="0.25"/>
    <row r="670" s="13" customFormat="1" ht="18" customHeight="1" x14ac:dyDescent="0.25"/>
    <row r="671" s="13" customFormat="1" ht="18" customHeight="1" x14ac:dyDescent="0.25"/>
    <row r="672" s="13" customFormat="1" ht="18" customHeight="1" x14ac:dyDescent="0.25"/>
    <row r="673" s="13" customFormat="1" ht="18" customHeight="1" x14ac:dyDescent="0.25"/>
    <row r="674" s="13" customFormat="1" ht="18" customHeight="1" x14ac:dyDescent="0.25"/>
    <row r="675" s="13" customFormat="1" ht="18" customHeight="1" x14ac:dyDescent="0.25"/>
    <row r="676" s="13" customFormat="1" ht="18" customHeight="1" x14ac:dyDescent="0.25"/>
    <row r="677" s="13" customFormat="1" ht="18" customHeight="1" x14ac:dyDescent="0.25"/>
    <row r="678" s="13" customFormat="1" ht="18" customHeight="1" x14ac:dyDescent="0.25"/>
    <row r="679" s="13" customFormat="1" ht="18" customHeight="1" x14ac:dyDescent="0.25"/>
    <row r="680" s="13" customFormat="1" ht="18" customHeight="1" x14ac:dyDescent="0.25"/>
    <row r="681" s="13" customFormat="1" ht="18" customHeight="1" x14ac:dyDescent="0.25"/>
    <row r="682" s="13" customFormat="1" ht="18" customHeight="1" x14ac:dyDescent="0.25"/>
    <row r="683" s="13" customFormat="1" ht="18" customHeight="1" x14ac:dyDescent="0.25"/>
    <row r="684" s="13" customFormat="1" ht="18" customHeight="1" x14ac:dyDescent="0.25"/>
    <row r="685" s="13" customFormat="1" ht="18" customHeight="1" x14ac:dyDescent="0.25"/>
    <row r="686" s="13" customFormat="1" ht="18" customHeight="1" x14ac:dyDescent="0.25"/>
    <row r="687" s="13" customFormat="1" ht="18" customHeight="1" x14ac:dyDescent="0.25"/>
    <row r="688" s="13" customFormat="1" ht="18" customHeight="1" x14ac:dyDescent="0.25"/>
    <row r="689" s="13" customFormat="1" ht="18" customHeight="1" x14ac:dyDescent="0.25"/>
    <row r="690" s="13" customFormat="1" ht="18" customHeight="1" x14ac:dyDescent="0.25"/>
    <row r="691" s="13" customFormat="1" ht="18" customHeight="1" x14ac:dyDescent="0.25"/>
    <row r="692" s="13" customFormat="1" ht="18" customHeight="1" x14ac:dyDescent="0.25"/>
    <row r="693" s="13" customFormat="1" ht="18" customHeight="1" x14ac:dyDescent="0.25"/>
    <row r="694" s="13" customFormat="1" ht="18" customHeight="1" x14ac:dyDescent="0.25"/>
    <row r="695" s="13" customFormat="1" ht="18" customHeight="1" x14ac:dyDescent="0.25"/>
    <row r="696" s="13" customFormat="1" ht="18" customHeight="1" x14ac:dyDescent="0.25"/>
    <row r="697" s="13" customFormat="1" ht="18" customHeight="1" x14ac:dyDescent="0.25"/>
    <row r="698" s="13" customFormat="1" ht="18" customHeight="1" x14ac:dyDescent="0.25"/>
    <row r="699" s="13" customFormat="1" ht="18" customHeight="1" x14ac:dyDescent="0.25"/>
    <row r="700" s="13" customFormat="1" ht="18" customHeight="1" x14ac:dyDescent="0.25"/>
    <row r="701" s="13" customFormat="1" ht="18" customHeight="1" x14ac:dyDescent="0.25"/>
    <row r="702" s="13" customFormat="1" ht="18" customHeight="1" x14ac:dyDescent="0.25"/>
    <row r="703" s="13" customFormat="1" ht="18" customHeight="1" x14ac:dyDescent="0.25"/>
    <row r="704" s="13" customFormat="1" ht="18" customHeight="1" x14ac:dyDescent="0.25"/>
    <row r="705" s="13" customFormat="1" ht="18" customHeight="1" x14ac:dyDescent="0.25"/>
    <row r="706" s="13" customFormat="1" ht="18" customHeight="1" x14ac:dyDescent="0.25"/>
    <row r="707" s="13" customFormat="1" ht="18" customHeight="1" x14ac:dyDescent="0.25"/>
    <row r="708" s="13" customFormat="1" ht="18" customHeight="1" x14ac:dyDescent="0.25"/>
    <row r="709" s="13" customFormat="1" ht="18" customHeight="1" x14ac:dyDescent="0.25"/>
    <row r="710" s="13" customFormat="1" ht="18" customHeight="1" x14ac:dyDescent="0.25"/>
    <row r="711" s="13" customFormat="1" ht="18" customHeight="1" x14ac:dyDescent="0.25"/>
    <row r="712" s="13" customFormat="1" ht="18" customHeight="1" x14ac:dyDescent="0.25"/>
    <row r="713" s="13" customFormat="1" ht="18" customHeight="1" x14ac:dyDescent="0.25"/>
    <row r="714" s="13" customFormat="1" ht="18" customHeight="1" x14ac:dyDescent="0.25"/>
    <row r="715" s="13" customFormat="1" ht="18" customHeight="1" x14ac:dyDescent="0.25"/>
    <row r="716" s="13" customFormat="1" ht="18" customHeight="1" x14ac:dyDescent="0.25"/>
    <row r="717" s="13" customFormat="1" ht="18" customHeight="1" x14ac:dyDescent="0.25"/>
    <row r="718" s="13" customFormat="1" ht="18" customHeight="1" x14ac:dyDescent="0.25"/>
    <row r="719" s="13" customFormat="1" ht="18" customHeight="1" x14ac:dyDescent="0.25"/>
    <row r="720" s="13" customFormat="1" ht="18" customHeight="1" x14ac:dyDescent="0.25"/>
    <row r="721" s="13" customFormat="1" ht="18" customHeight="1" x14ac:dyDescent="0.25"/>
    <row r="722" s="13" customFormat="1" ht="18" customHeight="1" x14ac:dyDescent="0.25"/>
    <row r="723" s="13" customFormat="1" ht="18" customHeight="1" x14ac:dyDescent="0.25"/>
    <row r="724" s="13" customFormat="1" ht="18" customHeight="1" x14ac:dyDescent="0.25"/>
    <row r="725" s="13" customFormat="1" ht="18" customHeight="1" x14ac:dyDescent="0.25"/>
    <row r="726" s="13" customFormat="1" ht="18" customHeight="1" x14ac:dyDescent="0.25"/>
    <row r="727" s="13" customFormat="1" ht="18" customHeight="1" x14ac:dyDescent="0.25"/>
    <row r="728" s="13" customFormat="1" ht="18" customHeight="1" x14ac:dyDescent="0.25"/>
    <row r="729" s="13" customFormat="1" ht="18" customHeight="1" x14ac:dyDescent="0.25"/>
    <row r="730" s="13" customFormat="1" ht="18" customHeight="1" x14ac:dyDescent="0.25"/>
    <row r="731" s="13" customFormat="1" ht="18" customHeight="1" x14ac:dyDescent="0.25"/>
    <row r="732" s="13" customFormat="1" ht="18" customHeight="1" x14ac:dyDescent="0.25"/>
    <row r="733" s="13" customFormat="1" ht="18" customHeight="1" x14ac:dyDescent="0.25"/>
    <row r="734" s="13" customFormat="1" ht="18" customHeight="1" x14ac:dyDescent="0.25"/>
    <row r="735" s="13" customFormat="1" ht="18" customHeight="1" x14ac:dyDescent="0.25"/>
    <row r="736" s="13" customFormat="1" ht="18" customHeight="1" x14ac:dyDescent="0.25"/>
    <row r="737" s="13" customFormat="1" ht="18" customHeight="1" x14ac:dyDescent="0.25"/>
    <row r="738" s="13" customFormat="1" ht="18" customHeight="1" x14ac:dyDescent="0.25"/>
    <row r="739" s="13" customFormat="1" ht="18" customHeight="1" x14ac:dyDescent="0.25"/>
    <row r="740" s="13" customFormat="1" ht="18" customHeight="1" x14ac:dyDescent="0.25"/>
    <row r="741" s="13" customFormat="1" ht="18" customHeight="1" x14ac:dyDescent="0.25"/>
    <row r="742" s="13" customFormat="1" ht="18" customHeight="1" x14ac:dyDescent="0.25"/>
    <row r="743" s="13" customFormat="1" ht="18" customHeight="1" x14ac:dyDescent="0.25"/>
    <row r="744" s="13" customFormat="1" ht="18" customHeight="1" x14ac:dyDescent="0.25"/>
    <row r="745" s="13" customFormat="1" ht="18" customHeight="1" x14ac:dyDescent="0.25"/>
    <row r="746" s="13" customFormat="1" ht="18" customHeight="1" x14ac:dyDescent="0.25"/>
    <row r="747" s="13" customFormat="1" ht="18" customHeight="1" x14ac:dyDescent="0.25"/>
    <row r="748" s="13" customFormat="1" ht="18" customHeight="1" x14ac:dyDescent="0.25"/>
    <row r="749" s="13" customFormat="1" ht="18" customHeight="1" x14ac:dyDescent="0.25"/>
    <row r="750" s="13" customFormat="1" ht="18" customHeight="1" x14ac:dyDescent="0.25"/>
    <row r="751" s="13" customFormat="1" ht="18" customHeight="1" x14ac:dyDescent="0.25"/>
    <row r="752" s="13" customFormat="1" ht="18" customHeight="1" x14ac:dyDescent="0.25"/>
    <row r="753" s="13" customFormat="1" ht="18" customHeight="1" x14ac:dyDescent="0.25"/>
    <row r="754" s="13" customFormat="1" ht="18" customHeight="1" x14ac:dyDescent="0.25"/>
    <row r="755" s="13" customFormat="1" ht="18" customHeight="1" x14ac:dyDescent="0.25"/>
    <row r="756" s="13" customFormat="1" ht="18" customHeight="1" x14ac:dyDescent="0.25"/>
    <row r="757" s="13" customFormat="1" ht="18" customHeight="1" x14ac:dyDescent="0.25"/>
    <row r="758" s="13" customFormat="1" ht="18" customHeight="1" x14ac:dyDescent="0.25"/>
    <row r="759" s="13" customFormat="1" ht="18" customHeight="1" x14ac:dyDescent="0.25"/>
    <row r="760" s="13" customFormat="1" ht="18" customHeight="1" x14ac:dyDescent="0.25"/>
    <row r="761" s="13" customFormat="1" ht="18" customHeight="1" x14ac:dyDescent="0.25"/>
    <row r="762" s="13" customFormat="1" ht="18" customHeight="1" x14ac:dyDescent="0.25"/>
    <row r="763" s="13" customFormat="1" ht="18" customHeight="1" x14ac:dyDescent="0.25"/>
    <row r="764" s="13" customFormat="1" ht="18" customHeight="1" x14ac:dyDescent="0.25"/>
    <row r="765" s="13" customFormat="1" ht="18" customHeight="1" x14ac:dyDescent="0.25"/>
    <row r="766" s="13" customFormat="1" ht="18" customHeight="1" x14ac:dyDescent="0.25"/>
    <row r="767" s="13" customFormat="1" ht="18" customHeight="1" x14ac:dyDescent="0.25"/>
    <row r="768" s="13" customFormat="1" ht="18" customHeight="1" x14ac:dyDescent="0.25"/>
    <row r="769" s="13" customFormat="1" ht="18" customHeight="1" x14ac:dyDescent="0.25"/>
    <row r="770" s="13" customFormat="1" ht="18" customHeight="1" x14ac:dyDescent="0.25"/>
    <row r="771" s="13" customFormat="1" ht="18" customHeight="1" x14ac:dyDescent="0.25"/>
    <row r="772" s="13" customFormat="1" ht="18" customHeight="1" x14ac:dyDescent="0.25"/>
    <row r="773" s="13" customFormat="1" ht="18" customHeight="1" x14ac:dyDescent="0.25"/>
    <row r="774" s="13" customFormat="1" ht="18" customHeight="1" x14ac:dyDescent="0.25"/>
    <row r="775" s="13" customFormat="1" ht="18" customHeight="1" x14ac:dyDescent="0.25"/>
    <row r="776" s="13" customFormat="1" ht="18" customHeight="1" x14ac:dyDescent="0.25"/>
    <row r="777" s="13" customFormat="1" ht="18" customHeight="1" x14ac:dyDescent="0.25"/>
    <row r="778" s="13" customFormat="1" ht="18" customHeight="1" x14ac:dyDescent="0.25"/>
    <row r="779" s="13" customFormat="1" ht="18" customHeight="1" x14ac:dyDescent="0.25"/>
    <row r="780" s="13" customFormat="1" ht="18" customHeight="1" x14ac:dyDescent="0.25"/>
    <row r="781" s="13" customFormat="1" ht="18" customHeight="1" x14ac:dyDescent="0.25"/>
    <row r="782" s="13" customFormat="1" ht="18" customHeight="1" x14ac:dyDescent="0.25"/>
    <row r="783" s="13" customFormat="1" ht="18" customHeight="1" x14ac:dyDescent="0.25"/>
    <row r="784" s="13" customFormat="1" ht="18" customHeight="1" x14ac:dyDescent="0.25"/>
    <row r="785" s="13" customFormat="1" ht="18" customHeight="1" x14ac:dyDescent="0.25"/>
    <row r="786" s="13" customFormat="1" ht="18" customHeight="1" x14ac:dyDescent="0.25"/>
    <row r="787" s="13" customFormat="1" ht="18" customHeight="1" x14ac:dyDescent="0.25"/>
    <row r="788" s="13" customFormat="1" ht="18" customHeight="1" x14ac:dyDescent="0.25"/>
    <row r="789" s="13" customFormat="1" ht="18" customHeight="1" x14ac:dyDescent="0.25"/>
    <row r="790" s="13" customFormat="1" ht="18" customHeight="1" x14ac:dyDescent="0.25"/>
    <row r="791" s="13" customFormat="1" ht="18" customHeight="1" x14ac:dyDescent="0.25"/>
    <row r="792" s="13" customFormat="1" ht="18" customHeight="1" x14ac:dyDescent="0.25"/>
    <row r="793" s="13" customFormat="1" ht="18" customHeight="1" x14ac:dyDescent="0.25"/>
    <row r="794" s="13" customFormat="1" ht="18" customHeight="1" x14ac:dyDescent="0.25"/>
    <row r="795" s="13" customFormat="1" ht="18" customHeight="1" x14ac:dyDescent="0.25"/>
    <row r="796" s="13" customFormat="1" ht="18" customHeight="1" x14ac:dyDescent="0.25"/>
    <row r="797" s="13" customFormat="1" ht="18" customHeight="1" x14ac:dyDescent="0.25"/>
    <row r="798" s="13" customFormat="1" ht="18" customHeight="1" x14ac:dyDescent="0.25"/>
    <row r="799" s="13" customFormat="1" ht="18" customHeight="1" x14ac:dyDescent="0.25"/>
    <row r="800" s="13" customFormat="1" ht="18" customHeight="1" x14ac:dyDescent="0.25"/>
    <row r="801" s="13" customFormat="1" ht="18" customHeight="1" x14ac:dyDescent="0.25"/>
    <row r="802" s="13" customFormat="1" ht="18" customHeight="1" x14ac:dyDescent="0.25"/>
    <row r="803" s="13" customFormat="1" ht="18" customHeight="1" x14ac:dyDescent="0.25"/>
    <row r="804" s="13" customFormat="1" ht="18" customHeight="1" x14ac:dyDescent="0.25"/>
    <row r="805" s="13" customFormat="1" ht="18" customHeight="1" x14ac:dyDescent="0.25"/>
    <row r="806" s="13" customFormat="1" ht="18" customHeight="1" x14ac:dyDescent="0.25"/>
    <row r="807" s="13" customFormat="1" ht="18" customHeight="1" x14ac:dyDescent="0.25"/>
    <row r="808" s="13" customFormat="1" ht="18" customHeight="1" x14ac:dyDescent="0.25"/>
    <row r="809" s="13" customFormat="1" ht="18" customHeight="1" x14ac:dyDescent="0.25"/>
    <row r="810" s="13" customFormat="1" ht="18" customHeight="1" x14ac:dyDescent="0.25"/>
    <row r="811" s="13" customFormat="1" ht="18" customHeight="1" x14ac:dyDescent="0.25"/>
    <row r="812" s="13" customFormat="1" ht="18" customHeight="1" x14ac:dyDescent="0.25"/>
    <row r="813" s="13" customFormat="1" ht="18" customHeight="1" x14ac:dyDescent="0.25"/>
    <row r="814" s="13" customFormat="1" ht="18" customHeight="1" x14ac:dyDescent="0.25"/>
    <row r="815" s="13" customFormat="1" ht="18" customHeight="1" x14ac:dyDescent="0.25"/>
    <row r="816" s="13" customFormat="1" ht="18" customHeight="1" x14ac:dyDescent="0.25"/>
    <row r="817" s="13" customFormat="1" ht="18" customHeight="1" x14ac:dyDescent="0.25"/>
    <row r="818" s="13" customFormat="1" ht="18" customHeight="1" x14ac:dyDescent="0.25"/>
    <row r="819" s="13" customFormat="1" ht="18" customHeight="1" x14ac:dyDescent="0.25"/>
    <row r="820" s="13" customFormat="1" ht="18" customHeight="1" x14ac:dyDescent="0.25"/>
    <row r="821" s="13" customFormat="1" ht="18" customHeight="1" x14ac:dyDescent="0.25"/>
    <row r="822" s="13" customFormat="1" ht="18" customHeight="1" x14ac:dyDescent="0.25"/>
    <row r="823" s="13" customFormat="1" ht="18" customHeight="1" x14ac:dyDescent="0.25"/>
    <row r="824" s="13" customFormat="1" ht="18" customHeight="1" x14ac:dyDescent="0.25"/>
    <row r="825" s="13" customFormat="1" ht="18" customHeight="1" x14ac:dyDescent="0.25"/>
    <row r="826" s="13" customFormat="1" ht="18" customHeight="1" x14ac:dyDescent="0.25"/>
    <row r="827" s="13" customFormat="1" ht="18" customHeight="1" x14ac:dyDescent="0.25"/>
    <row r="828" s="13" customFormat="1" ht="18" customHeight="1" x14ac:dyDescent="0.25"/>
    <row r="829" s="13" customFormat="1" ht="18" customHeight="1" x14ac:dyDescent="0.25"/>
    <row r="830" s="13" customFormat="1" ht="18" customHeight="1" x14ac:dyDescent="0.25"/>
    <row r="831" s="13" customFormat="1" ht="18" customHeight="1" x14ac:dyDescent="0.25"/>
    <row r="832" s="13" customFormat="1" ht="18" customHeight="1" x14ac:dyDescent="0.25"/>
    <row r="833" s="13" customFormat="1" ht="18" customHeight="1" x14ac:dyDescent="0.25"/>
    <row r="834" s="13" customFormat="1" ht="18" customHeight="1" x14ac:dyDescent="0.25"/>
    <row r="835" s="13" customFormat="1" ht="18" customHeight="1" x14ac:dyDescent="0.25"/>
    <row r="836" s="13" customFormat="1" ht="18" customHeight="1" x14ac:dyDescent="0.25"/>
    <row r="837" s="13" customFormat="1" ht="18" customHeight="1" x14ac:dyDescent="0.25"/>
    <row r="838" s="13" customFormat="1" ht="18" customHeight="1" x14ac:dyDescent="0.25"/>
    <row r="839" s="13" customFormat="1" ht="18" customHeight="1" x14ac:dyDescent="0.25"/>
    <row r="840" s="13" customFormat="1" ht="18" customHeight="1" x14ac:dyDescent="0.25"/>
    <row r="841" s="13" customFormat="1" ht="18" customHeight="1" x14ac:dyDescent="0.25"/>
    <row r="842" s="13" customFormat="1" ht="18" customHeight="1" x14ac:dyDescent="0.25"/>
    <row r="843" s="13" customFormat="1" ht="18" customHeight="1" x14ac:dyDescent="0.25"/>
    <row r="844" s="13" customFormat="1" ht="18" customHeight="1" x14ac:dyDescent="0.25"/>
    <row r="845" s="13" customFormat="1" ht="18" customHeight="1" x14ac:dyDescent="0.25"/>
    <row r="846" s="13" customFormat="1" ht="18" customHeight="1" x14ac:dyDescent="0.25"/>
    <row r="847" s="13" customFormat="1" ht="18" customHeight="1" x14ac:dyDescent="0.25"/>
    <row r="848" s="13" customFormat="1" ht="18" customHeight="1" x14ac:dyDescent="0.25"/>
    <row r="849" s="13" customFormat="1" ht="18" customHeight="1" x14ac:dyDescent="0.25"/>
    <row r="850" s="13" customFormat="1" ht="18" customHeight="1" x14ac:dyDescent="0.25"/>
    <row r="851" s="13" customFormat="1" ht="18" customHeight="1" x14ac:dyDescent="0.25"/>
    <row r="852" s="13" customFormat="1" ht="18" customHeight="1" x14ac:dyDescent="0.25"/>
    <row r="853" s="13" customFormat="1" ht="18" customHeight="1" x14ac:dyDescent="0.25"/>
    <row r="854" s="13" customFormat="1" ht="18" customHeight="1" x14ac:dyDescent="0.25"/>
    <row r="855" s="13" customFormat="1" ht="18" customHeight="1" x14ac:dyDescent="0.25"/>
    <row r="856" s="13" customFormat="1" ht="18" customHeight="1" x14ac:dyDescent="0.25"/>
    <row r="857" s="13" customFormat="1" ht="18" customHeight="1" x14ac:dyDescent="0.25"/>
    <row r="858" s="13" customFormat="1" ht="18" customHeight="1" x14ac:dyDescent="0.25"/>
    <row r="859" s="13" customFormat="1" ht="18" customHeight="1" x14ac:dyDescent="0.25"/>
    <row r="860" s="13" customFormat="1" ht="18" customHeight="1" x14ac:dyDescent="0.25"/>
    <row r="861" s="13" customFormat="1" ht="18" customHeight="1" x14ac:dyDescent="0.25"/>
    <row r="862" s="13" customFormat="1" ht="18" customHeight="1" x14ac:dyDescent="0.25"/>
    <row r="863" s="13" customFormat="1" ht="18" customHeight="1" x14ac:dyDescent="0.25"/>
    <row r="864" s="13" customFormat="1" ht="18" customHeight="1" x14ac:dyDescent="0.25"/>
    <row r="865" s="13" customFormat="1" ht="18" customHeight="1" x14ac:dyDescent="0.25"/>
    <row r="866" s="13" customFormat="1" ht="18" customHeight="1" x14ac:dyDescent="0.25"/>
    <row r="867" s="13" customFormat="1" ht="18" customHeight="1" x14ac:dyDescent="0.25"/>
    <row r="868" s="13" customFormat="1" ht="18" customHeight="1" x14ac:dyDescent="0.25"/>
    <row r="869" s="13" customFormat="1" ht="18" customHeight="1" x14ac:dyDescent="0.25"/>
    <row r="870" s="13" customFormat="1" ht="18" customHeight="1" x14ac:dyDescent="0.25"/>
    <row r="871" s="13" customFormat="1" ht="18" customHeight="1" x14ac:dyDescent="0.25"/>
    <row r="872" s="13" customFormat="1" ht="18" customHeight="1" x14ac:dyDescent="0.25"/>
    <row r="873" s="13" customFormat="1" ht="18" customHeight="1" x14ac:dyDescent="0.25"/>
    <row r="874" s="13" customFormat="1" ht="18" customHeight="1" x14ac:dyDescent="0.25"/>
    <row r="875" s="13" customFormat="1" ht="18" customHeight="1" x14ac:dyDescent="0.25"/>
    <row r="876" s="13" customFormat="1" ht="18" customHeight="1" x14ac:dyDescent="0.25"/>
    <row r="877" s="13" customFormat="1" ht="18" customHeight="1" x14ac:dyDescent="0.25"/>
    <row r="878" s="13" customFormat="1" ht="18" customHeight="1" x14ac:dyDescent="0.25"/>
    <row r="879" s="13" customFormat="1" ht="18" customHeight="1" x14ac:dyDescent="0.25"/>
    <row r="880" s="13" customFormat="1" ht="18" customHeight="1" x14ac:dyDescent="0.25"/>
    <row r="881" s="13" customFormat="1" ht="18" customHeight="1" x14ac:dyDescent="0.25"/>
    <row r="882" s="13" customFormat="1" ht="18" customHeight="1" x14ac:dyDescent="0.25"/>
    <row r="883" s="13" customFormat="1" ht="18" customHeight="1" x14ac:dyDescent="0.25"/>
    <row r="884" s="13" customFormat="1" ht="18" customHeight="1" x14ac:dyDescent="0.25"/>
    <row r="885" s="13" customFormat="1" ht="18" customHeight="1" x14ac:dyDescent="0.25"/>
    <row r="886" s="13" customFormat="1" ht="18" customHeight="1" x14ac:dyDescent="0.25"/>
    <row r="887" s="13" customFormat="1" ht="18" customHeight="1" x14ac:dyDescent="0.25"/>
    <row r="888" s="13" customFormat="1" ht="18" customHeight="1" x14ac:dyDescent="0.25"/>
    <row r="889" s="13" customFormat="1" ht="18" customHeight="1" x14ac:dyDescent="0.25"/>
    <row r="890" s="13" customFormat="1" ht="18" customHeight="1" x14ac:dyDescent="0.25"/>
    <row r="891" s="13" customFormat="1" ht="18" customHeight="1" x14ac:dyDescent="0.25"/>
    <row r="892" s="13" customFormat="1" ht="18" customHeight="1" x14ac:dyDescent="0.25"/>
    <row r="893" s="13" customFormat="1" ht="18" customHeight="1" x14ac:dyDescent="0.25"/>
    <row r="894" s="13" customFormat="1" ht="18" customHeight="1" x14ac:dyDescent="0.25"/>
    <row r="895" s="13" customFormat="1" ht="18" customHeight="1" x14ac:dyDescent="0.25"/>
    <row r="896" s="13" customFormat="1" ht="18" customHeight="1" x14ac:dyDescent="0.25"/>
    <row r="897" s="13" customFormat="1" ht="18" customHeight="1" x14ac:dyDescent="0.25"/>
    <row r="898" s="13" customFormat="1" ht="18" customHeight="1" x14ac:dyDescent="0.25"/>
    <row r="899" s="13" customFormat="1" ht="18" customHeight="1" x14ac:dyDescent="0.25"/>
    <row r="900" s="13" customFormat="1" ht="18" customHeight="1" x14ac:dyDescent="0.25"/>
    <row r="901" s="13" customFormat="1" ht="18" customHeight="1" x14ac:dyDescent="0.25"/>
    <row r="902" s="13" customFormat="1" ht="18" customHeight="1" x14ac:dyDescent="0.25"/>
    <row r="903" s="13" customFormat="1" ht="18" customHeight="1" x14ac:dyDescent="0.25"/>
    <row r="904" s="13" customFormat="1" ht="18" customHeight="1" x14ac:dyDescent="0.25"/>
    <row r="905" s="13" customFormat="1" ht="18" customHeight="1" x14ac:dyDescent="0.25"/>
    <row r="906" s="13" customFormat="1" ht="18" customHeight="1" x14ac:dyDescent="0.25"/>
    <row r="907" s="13" customFormat="1" ht="18" customHeight="1" x14ac:dyDescent="0.25"/>
    <row r="908" s="13" customFormat="1" ht="18" customHeight="1" x14ac:dyDescent="0.25"/>
    <row r="909" s="13" customFormat="1" ht="18" customHeight="1" x14ac:dyDescent="0.25"/>
    <row r="910" s="13" customFormat="1" ht="18" customHeight="1" x14ac:dyDescent="0.25"/>
    <row r="911" s="13" customFormat="1" ht="18" customHeight="1" x14ac:dyDescent="0.25"/>
    <row r="912" s="13" customFormat="1" ht="18" customHeight="1" x14ac:dyDescent="0.25"/>
    <row r="913" s="13" customFormat="1" ht="18" customHeight="1" x14ac:dyDescent="0.25"/>
    <row r="914" s="13" customFormat="1" ht="18" customHeight="1" x14ac:dyDescent="0.25"/>
    <row r="915" s="13" customFormat="1" ht="18" customHeight="1" x14ac:dyDescent="0.25"/>
    <row r="916" s="13" customFormat="1" ht="18" customHeight="1" x14ac:dyDescent="0.25"/>
    <row r="917" s="13" customFormat="1" ht="18" customHeight="1" x14ac:dyDescent="0.25"/>
    <row r="918" s="13" customFormat="1" ht="18" customHeight="1" x14ac:dyDescent="0.25"/>
    <row r="919" s="13" customFormat="1" ht="18" customHeight="1" x14ac:dyDescent="0.25"/>
    <row r="920" s="13" customFormat="1" ht="18" customHeight="1" x14ac:dyDescent="0.25"/>
    <row r="921" s="13" customFormat="1" ht="18" customHeight="1" x14ac:dyDescent="0.25"/>
    <row r="922" s="13" customFormat="1" ht="18" customHeight="1" x14ac:dyDescent="0.25"/>
    <row r="923" s="13" customFormat="1" ht="18" customHeight="1" x14ac:dyDescent="0.25"/>
    <row r="924" s="13" customFormat="1" ht="18" customHeight="1" x14ac:dyDescent="0.25"/>
    <row r="925" s="13" customFormat="1" ht="18" customHeight="1" x14ac:dyDescent="0.25"/>
    <row r="926" s="13" customFormat="1" ht="18" customHeight="1" x14ac:dyDescent="0.25"/>
    <row r="927" s="13" customFormat="1" ht="18" customHeight="1" x14ac:dyDescent="0.25"/>
    <row r="928" s="13" customFormat="1" ht="18" customHeight="1" x14ac:dyDescent="0.25"/>
    <row r="929" s="13" customFormat="1" ht="18" customHeight="1" x14ac:dyDescent="0.25"/>
    <row r="930" s="13" customFormat="1" ht="18" customHeight="1" x14ac:dyDescent="0.25"/>
    <row r="931" s="13" customFormat="1" ht="18" customHeight="1" x14ac:dyDescent="0.25"/>
    <row r="932" s="13" customFormat="1" ht="18" customHeight="1" x14ac:dyDescent="0.25"/>
    <row r="933" s="13" customFormat="1" ht="18" customHeight="1" x14ac:dyDescent="0.25"/>
    <row r="934" s="13" customFormat="1" ht="18" customHeight="1" x14ac:dyDescent="0.25"/>
    <row r="935" s="13" customFormat="1" ht="18" customHeight="1" x14ac:dyDescent="0.25"/>
    <row r="936" s="13" customFormat="1" ht="18" customHeight="1" x14ac:dyDescent="0.25"/>
    <row r="937" s="13" customFormat="1" ht="18" customHeight="1" x14ac:dyDescent="0.25"/>
    <row r="938" s="13" customFormat="1" ht="18" customHeight="1" x14ac:dyDescent="0.25"/>
    <row r="939" s="13" customFormat="1" ht="18" customHeight="1" x14ac:dyDescent="0.25"/>
    <row r="940" s="13" customFormat="1" ht="18" customHeight="1" x14ac:dyDescent="0.25"/>
    <row r="941" s="13" customFormat="1" ht="18" customHeight="1" x14ac:dyDescent="0.25"/>
    <row r="942" s="13" customFormat="1" ht="18" customHeight="1" x14ac:dyDescent="0.25"/>
    <row r="943" s="13" customFormat="1" ht="18" customHeight="1" x14ac:dyDescent="0.25"/>
    <row r="944" s="13" customFormat="1" ht="18" customHeight="1" x14ac:dyDescent="0.25"/>
    <row r="945" s="13" customFormat="1" ht="18" customHeight="1" x14ac:dyDescent="0.25"/>
    <row r="946" s="13" customFormat="1" ht="18" customHeight="1" x14ac:dyDescent="0.25"/>
    <row r="947" s="13" customFormat="1" ht="18" customHeight="1" x14ac:dyDescent="0.25"/>
    <row r="948" s="13" customFormat="1" ht="18" customHeight="1" x14ac:dyDescent="0.25"/>
    <row r="949" s="13" customFormat="1" ht="18" customHeight="1" x14ac:dyDescent="0.25"/>
    <row r="950" s="13" customFormat="1" ht="18" customHeight="1" x14ac:dyDescent="0.25"/>
    <row r="951" s="13" customFormat="1" ht="18" customHeight="1" x14ac:dyDescent="0.25"/>
    <row r="952" s="13" customFormat="1" ht="18" customHeight="1" x14ac:dyDescent="0.25"/>
    <row r="953" s="13" customFormat="1" ht="18" customHeight="1" x14ac:dyDescent="0.25"/>
    <row r="954" s="13" customFormat="1" ht="18" customHeight="1" x14ac:dyDescent="0.25"/>
    <row r="955" s="13" customFormat="1" ht="18" customHeight="1" x14ac:dyDescent="0.25"/>
    <row r="956" s="13" customFormat="1" ht="18" customHeight="1" x14ac:dyDescent="0.25"/>
    <row r="957" s="13" customFormat="1" ht="18" customHeight="1" x14ac:dyDescent="0.25"/>
    <row r="958" s="13" customFormat="1" ht="18" customHeight="1" x14ac:dyDescent="0.25"/>
    <row r="959" s="13" customFormat="1" ht="18" customHeight="1" x14ac:dyDescent="0.25"/>
    <row r="960" s="13" customFormat="1" ht="18" customHeight="1" x14ac:dyDescent="0.25"/>
    <row r="961" s="13" customFormat="1" ht="18" customHeight="1" x14ac:dyDescent="0.25"/>
    <row r="962" s="13" customFormat="1" ht="18" customHeight="1" x14ac:dyDescent="0.25"/>
    <row r="963" s="13" customFormat="1" ht="18" customHeight="1" x14ac:dyDescent="0.25"/>
    <row r="964" s="13" customFormat="1" ht="18" customHeight="1" x14ac:dyDescent="0.25"/>
    <row r="965" s="13" customFormat="1" ht="18" customHeight="1" x14ac:dyDescent="0.25"/>
    <row r="966" s="13" customFormat="1" ht="18" customHeight="1" x14ac:dyDescent="0.25"/>
    <row r="967" s="13" customFormat="1" ht="18" customHeight="1" x14ac:dyDescent="0.25"/>
    <row r="968" s="13" customFormat="1" ht="18" customHeight="1" x14ac:dyDescent="0.25"/>
    <row r="969" s="13" customFormat="1" ht="18" customHeight="1" x14ac:dyDescent="0.25"/>
    <row r="970" s="13" customFormat="1" ht="18" customHeight="1" x14ac:dyDescent="0.25"/>
    <row r="971" s="13" customFormat="1" ht="18" customHeight="1" x14ac:dyDescent="0.25"/>
    <row r="972" s="13" customFormat="1" ht="18" customHeight="1" x14ac:dyDescent="0.25"/>
    <row r="973" s="13" customFormat="1" ht="18" customHeight="1" x14ac:dyDescent="0.25"/>
    <row r="974" s="13" customFormat="1" ht="18" customHeight="1" x14ac:dyDescent="0.25"/>
    <row r="975" s="13" customFormat="1" ht="18" customHeight="1" x14ac:dyDescent="0.25"/>
    <row r="976" s="13" customFormat="1" ht="18" customHeight="1" x14ac:dyDescent="0.25"/>
    <row r="977" s="13" customFormat="1" ht="18" customHeight="1" x14ac:dyDescent="0.25"/>
    <row r="978" s="13" customFormat="1" ht="18" customHeight="1" x14ac:dyDescent="0.25"/>
    <row r="979" s="13" customFormat="1" ht="18" customHeight="1" x14ac:dyDescent="0.25"/>
    <row r="980" s="13" customFormat="1" ht="18" customHeight="1" x14ac:dyDescent="0.25"/>
    <row r="981" s="13" customFormat="1" ht="18" customHeight="1" x14ac:dyDescent="0.25"/>
    <row r="982" s="13" customFormat="1" ht="18" customHeight="1" x14ac:dyDescent="0.25"/>
    <row r="983" s="13" customFormat="1" ht="18" customHeight="1" x14ac:dyDescent="0.25"/>
    <row r="984" s="13" customFormat="1" ht="18" customHeight="1" x14ac:dyDescent="0.25"/>
    <row r="985" s="13" customFormat="1" ht="18" customHeight="1" x14ac:dyDescent="0.25"/>
    <row r="986" s="13" customFormat="1" ht="18" customHeight="1" x14ac:dyDescent="0.25"/>
    <row r="987" s="13" customFormat="1" ht="18" customHeight="1" x14ac:dyDescent="0.25"/>
    <row r="988" s="13" customFormat="1" ht="18" customHeight="1" x14ac:dyDescent="0.25"/>
    <row r="989" s="13" customFormat="1" ht="18" customHeight="1" x14ac:dyDescent="0.25"/>
    <row r="990" s="13" customFormat="1" ht="18" customHeight="1" x14ac:dyDescent="0.25"/>
    <row r="991" s="13" customFormat="1" ht="18" customHeight="1" x14ac:dyDescent="0.25"/>
    <row r="992" s="13" customFormat="1" ht="18" customHeight="1" x14ac:dyDescent="0.25"/>
    <row r="993" s="13" customFormat="1" ht="18" customHeight="1" x14ac:dyDescent="0.25"/>
    <row r="994" s="13" customFormat="1" ht="18" customHeight="1" x14ac:dyDescent="0.25"/>
    <row r="995" s="13" customFormat="1" ht="18" customHeight="1" x14ac:dyDescent="0.25"/>
    <row r="996" s="13" customFormat="1" ht="18" customHeight="1" x14ac:dyDescent="0.25"/>
    <row r="997" s="13" customFormat="1" ht="18" customHeight="1" x14ac:dyDescent="0.25"/>
    <row r="998" s="13" customFormat="1" ht="18" customHeight="1" x14ac:dyDescent="0.25"/>
    <row r="999" s="13" customFormat="1" ht="18" customHeight="1" x14ac:dyDescent="0.25"/>
    <row r="1000" s="13" customFormat="1" ht="18" customHeight="1" x14ac:dyDescent="0.25"/>
    <row r="1001" s="13" customFormat="1" ht="18" customHeight="1" x14ac:dyDescent="0.25"/>
    <row r="1002" s="13" customFormat="1" ht="18" customHeight="1" x14ac:dyDescent="0.25"/>
    <row r="1003" s="13" customFormat="1" ht="18" customHeight="1" x14ac:dyDescent="0.25"/>
    <row r="1004" s="13" customFormat="1" ht="18" customHeight="1" x14ac:dyDescent="0.25"/>
    <row r="1005" s="13" customFormat="1" ht="18" customHeight="1" x14ac:dyDescent="0.25"/>
    <row r="1006" s="13" customFormat="1" ht="18" customHeight="1" x14ac:dyDescent="0.25"/>
    <row r="1007" s="13" customFormat="1" ht="18" customHeight="1" x14ac:dyDescent="0.25"/>
    <row r="1008" s="13" customFormat="1" ht="18" customHeight="1" x14ac:dyDescent="0.25"/>
    <row r="1009" s="13" customFormat="1" ht="18" customHeight="1" x14ac:dyDescent="0.25"/>
    <row r="1010" s="13" customFormat="1" ht="18" customHeight="1" x14ac:dyDescent="0.25"/>
    <row r="1011" s="13" customFormat="1" ht="18" customHeight="1" x14ac:dyDescent="0.25"/>
    <row r="1012" s="13" customFormat="1" ht="18" customHeight="1" x14ac:dyDescent="0.25"/>
    <row r="1013" s="13" customFormat="1" ht="18" customHeight="1" x14ac:dyDescent="0.25"/>
    <row r="1014" s="13" customFormat="1" ht="18" customHeight="1" x14ac:dyDescent="0.25"/>
    <row r="1015" s="13" customFormat="1" ht="18" customHeight="1" x14ac:dyDescent="0.25"/>
    <row r="1016" s="13" customFormat="1" ht="18" customHeight="1" x14ac:dyDescent="0.25"/>
    <row r="1017" s="13" customFormat="1" ht="18" customHeight="1" x14ac:dyDescent="0.25"/>
    <row r="1018" s="13" customFormat="1" ht="18" customHeight="1" x14ac:dyDescent="0.25"/>
    <row r="1019" s="13" customFormat="1" ht="18" customHeight="1" x14ac:dyDescent="0.25"/>
    <row r="1020" s="13" customFormat="1" ht="18" customHeight="1" x14ac:dyDescent="0.25"/>
    <row r="1021" s="13" customFormat="1" ht="18" customHeight="1" x14ac:dyDescent="0.25"/>
    <row r="1022" s="13" customFormat="1" ht="18" customHeight="1" x14ac:dyDescent="0.25"/>
    <row r="1023" s="13" customFormat="1" ht="18" customHeight="1" x14ac:dyDescent="0.25"/>
    <row r="1024" s="13" customFormat="1" ht="18" customHeight="1" x14ac:dyDescent="0.25"/>
    <row r="1025" s="13" customFormat="1" ht="18" customHeight="1" x14ac:dyDescent="0.25"/>
    <row r="1026" s="13" customFormat="1" ht="18" customHeight="1" x14ac:dyDescent="0.25"/>
    <row r="1027" s="13" customFormat="1" ht="18" customHeight="1" x14ac:dyDescent="0.25"/>
    <row r="1028" s="13" customFormat="1" ht="18" customHeight="1" x14ac:dyDescent="0.25"/>
    <row r="1029" s="13" customFormat="1" ht="18" customHeight="1" x14ac:dyDescent="0.25"/>
    <row r="1030" s="13" customFormat="1" ht="18" customHeight="1" x14ac:dyDescent="0.25"/>
    <row r="1031" s="13" customFormat="1" ht="18" customHeight="1" x14ac:dyDescent="0.25"/>
    <row r="1032" s="13" customFormat="1" ht="18" customHeight="1" x14ac:dyDescent="0.25"/>
    <row r="1033" s="13" customFormat="1" ht="18" customHeight="1" x14ac:dyDescent="0.25"/>
    <row r="1034" s="13" customFormat="1" ht="18" customHeight="1" x14ac:dyDescent="0.25"/>
    <row r="1035" s="13" customFormat="1" ht="18" customHeight="1" x14ac:dyDescent="0.25"/>
    <row r="1036" s="13" customFormat="1" ht="18" customHeight="1" x14ac:dyDescent="0.25"/>
    <row r="1037" s="13" customFormat="1" ht="18" customHeight="1" x14ac:dyDescent="0.25"/>
    <row r="1038" s="13" customFormat="1" ht="18" customHeight="1" x14ac:dyDescent="0.25"/>
    <row r="1039" s="13" customFormat="1" ht="18" customHeight="1" x14ac:dyDescent="0.25"/>
    <row r="1040" s="13" customFormat="1" ht="18" customHeight="1" x14ac:dyDescent="0.25"/>
    <row r="1041" s="13" customFormat="1" ht="18" customHeight="1" x14ac:dyDescent="0.25"/>
    <row r="1042" s="13" customFormat="1" ht="18" customHeight="1" x14ac:dyDescent="0.25"/>
    <row r="1043" s="13" customFormat="1" ht="18" customHeight="1" x14ac:dyDescent="0.25"/>
    <row r="1044" s="13" customFormat="1" ht="18" customHeight="1" x14ac:dyDescent="0.25"/>
    <row r="1045" s="13" customFormat="1" ht="18" customHeight="1" x14ac:dyDescent="0.25"/>
    <row r="1046" s="13" customFormat="1" ht="18" customHeight="1" x14ac:dyDescent="0.25"/>
    <row r="1047" s="13" customFormat="1" ht="18" customHeight="1" x14ac:dyDescent="0.25"/>
    <row r="1048" s="13" customFormat="1" ht="18" customHeight="1" x14ac:dyDescent="0.25"/>
    <row r="1049" s="13" customFormat="1" ht="18" customHeight="1" x14ac:dyDescent="0.25"/>
    <row r="1050" s="13" customFormat="1" ht="18" customHeight="1" x14ac:dyDescent="0.25"/>
    <row r="1051" s="13" customFormat="1" ht="18" customHeight="1" x14ac:dyDescent="0.25"/>
    <row r="1052" s="13" customFormat="1" ht="18" customHeight="1" x14ac:dyDescent="0.25"/>
    <row r="1053" s="13" customFormat="1" ht="18" customHeight="1" x14ac:dyDescent="0.25"/>
    <row r="1054" s="13" customFormat="1" ht="18" customHeight="1" x14ac:dyDescent="0.25"/>
    <row r="1055" s="13" customFormat="1" ht="18" customHeight="1" x14ac:dyDescent="0.25"/>
    <row r="1056" s="13" customFormat="1" ht="18" customHeight="1" x14ac:dyDescent="0.25"/>
    <row r="1057" s="13" customFormat="1" ht="18" customHeight="1" x14ac:dyDescent="0.25"/>
    <row r="1058" s="13" customFormat="1" ht="18" customHeight="1" x14ac:dyDescent="0.25"/>
    <row r="1059" s="13" customFormat="1" ht="18" customHeight="1" x14ac:dyDescent="0.25"/>
    <row r="1060" s="13" customFormat="1" ht="18" customHeight="1" x14ac:dyDescent="0.25"/>
    <row r="1061" s="13" customFormat="1" ht="18" customHeight="1" x14ac:dyDescent="0.25"/>
    <row r="1062" s="13" customFormat="1" ht="18" customHeight="1" x14ac:dyDescent="0.25"/>
    <row r="1063" s="13" customFormat="1" ht="18" customHeight="1" x14ac:dyDescent="0.25"/>
    <row r="1064" s="13" customFormat="1" ht="18" customHeight="1" x14ac:dyDescent="0.25"/>
    <row r="1065" s="13" customFormat="1" ht="18" customHeight="1" x14ac:dyDescent="0.25"/>
    <row r="1066" s="13" customFormat="1" ht="18" customHeight="1" x14ac:dyDescent="0.25"/>
    <row r="1067" s="13" customFormat="1" ht="18" customHeight="1" x14ac:dyDescent="0.25"/>
    <row r="1068" s="13" customFormat="1" ht="18" customHeight="1" x14ac:dyDescent="0.25"/>
    <row r="1069" s="13" customFormat="1" ht="18" customHeight="1" x14ac:dyDescent="0.25"/>
    <row r="1070" s="13" customFormat="1" ht="18" customHeight="1" x14ac:dyDescent="0.25"/>
    <row r="1071" s="13" customFormat="1" ht="18" customHeight="1" x14ac:dyDescent="0.25"/>
    <row r="1072" s="13" customFormat="1" ht="18" customHeight="1" x14ac:dyDescent="0.25"/>
    <row r="1073" s="13" customFormat="1" ht="18" customHeight="1" x14ac:dyDescent="0.25"/>
    <row r="1074" s="13" customFormat="1" ht="18" customHeight="1" x14ac:dyDescent="0.25"/>
    <row r="1075" s="13" customFormat="1" ht="18" customHeight="1" x14ac:dyDescent="0.25"/>
    <row r="1076" s="13" customFormat="1" ht="18" customHeight="1" x14ac:dyDescent="0.25"/>
    <row r="1077" s="13" customFormat="1" ht="18" customHeight="1" x14ac:dyDescent="0.25"/>
    <row r="1078" s="13" customFormat="1" ht="18" customHeight="1" x14ac:dyDescent="0.25"/>
    <row r="1079" s="13" customFormat="1" ht="18" customHeight="1" x14ac:dyDescent="0.25"/>
    <row r="1080" s="13" customFormat="1" ht="18" customHeight="1" x14ac:dyDescent="0.25"/>
    <row r="1081" s="13" customFormat="1" ht="18" customHeight="1" x14ac:dyDescent="0.25"/>
    <row r="1082" s="13" customFormat="1" ht="18" customHeight="1" x14ac:dyDescent="0.25"/>
    <row r="1083" s="13" customFormat="1" ht="18" customHeight="1" x14ac:dyDescent="0.25"/>
    <row r="1084" s="13" customFormat="1" ht="18" customHeight="1" x14ac:dyDescent="0.25"/>
    <row r="1085" s="13" customFormat="1" ht="18" customHeight="1" x14ac:dyDescent="0.25"/>
    <row r="1086" s="13" customFormat="1" ht="18" customHeight="1" x14ac:dyDescent="0.25"/>
    <row r="1087" s="13" customFormat="1" ht="18" customHeight="1" x14ac:dyDescent="0.25"/>
    <row r="1088" s="13" customFormat="1" ht="18" customHeight="1" x14ac:dyDescent="0.25"/>
    <row r="1089" s="13" customFormat="1" ht="18" customHeight="1" x14ac:dyDescent="0.25"/>
    <row r="1090" s="13" customFormat="1" ht="18" customHeight="1" x14ac:dyDescent="0.25"/>
    <row r="1091" s="13" customFormat="1" ht="18" customHeight="1" x14ac:dyDescent="0.25"/>
    <row r="1092" s="13" customFormat="1" ht="18" customHeight="1" x14ac:dyDescent="0.25"/>
    <row r="1093" s="13" customFormat="1" ht="18" customHeight="1" x14ac:dyDescent="0.25"/>
    <row r="1094" s="13" customFormat="1" ht="18" customHeight="1" x14ac:dyDescent="0.25"/>
    <row r="1095" s="13" customFormat="1" ht="18" customHeight="1" x14ac:dyDescent="0.25"/>
    <row r="1096" s="13" customFormat="1" ht="18" customHeight="1" x14ac:dyDescent="0.25"/>
    <row r="1097" s="13" customFormat="1" ht="18" customHeight="1" x14ac:dyDescent="0.25"/>
    <row r="1098" s="13" customFormat="1" ht="18" customHeight="1" x14ac:dyDescent="0.25"/>
    <row r="1099" s="13" customFormat="1" ht="18" customHeight="1" x14ac:dyDescent="0.25"/>
    <row r="1100" s="13" customFormat="1" ht="18" customHeight="1" x14ac:dyDescent="0.25"/>
    <row r="1101" s="13" customFormat="1" ht="18" customHeight="1" x14ac:dyDescent="0.25"/>
    <row r="1102" s="13" customFormat="1" ht="18" customHeight="1" x14ac:dyDescent="0.25"/>
    <row r="1103" s="13" customFormat="1" ht="18" customHeight="1" x14ac:dyDescent="0.25"/>
    <row r="1104" s="13" customFormat="1" ht="18" customHeight="1" x14ac:dyDescent="0.25"/>
    <row r="1105" s="13" customFormat="1" ht="18" customHeight="1" x14ac:dyDescent="0.25"/>
    <row r="1106" s="13" customFormat="1" ht="18" customHeight="1" x14ac:dyDescent="0.25"/>
    <row r="1107" s="13" customFormat="1" ht="18" customHeight="1" x14ac:dyDescent="0.25"/>
    <row r="1108" s="13" customFormat="1" ht="18" customHeight="1" x14ac:dyDescent="0.25"/>
    <row r="1109" s="13" customFormat="1" ht="18" customHeight="1" x14ac:dyDescent="0.25"/>
    <row r="1110" s="13" customFormat="1" ht="18" customHeight="1" x14ac:dyDescent="0.25"/>
    <row r="1111" s="13" customFormat="1" ht="18" customHeight="1" x14ac:dyDescent="0.25"/>
    <row r="1112" s="13" customFormat="1" ht="18" customHeight="1" x14ac:dyDescent="0.25"/>
    <row r="1113" s="13" customFormat="1" ht="18" customHeight="1" x14ac:dyDescent="0.25"/>
    <row r="1114" s="13" customFormat="1" ht="18" customHeight="1" x14ac:dyDescent="0.25"/>
    <row r="1115" s="13" customFormat="1" ht="18" customHeight="1" x14ac:dyDescent="0.25"/>
    <row r="1116" s="13" customFormat="1" ht="18" customHeight="1" x14ac:dyDescent="0.25"/>
    <row r="1117" s="13" customFormat="1" ht="18" customHeight="1" x14ac:dyDescent="0.25"/>
    <row r="1118" s="13" customFormat="1" ht="18" customHeight="1" x14ac:dyDescent="0.25"/>
    <row r="1119" s="13" customFormat="1" ht="18" customHeight="1" x14ac:dyDescent="0.25"/>
    <row r="1120" s="13" customFormat="1" ht="18" customHeight="1" x14ac:dyDescent="0.25"/>
    <row r="1121" s="13" customFormat="1" ht="18" customHeight="1" x14ac:dyDescent="0.25"/>
    <row r="1122" s="13" customFormat="1" ht="18" customHeight="1" x14ac:dyDescent="0.25"/>
    <row r="1123" s="13" customFormat="1" ht="18" customHeight="1" x14ac:dyDescent="0.25"/>
    <row r="1124" s="13" customFormat="1" ht="18" customHeight="1" x14ac:dyDescent="0.25"/>
    <row r="1125" s="13" customFormat="1" ht="18" customHeight="1" x14ac:dyDescent="0.25"/>
    <row r="1126" s="13" customFormat="1" ht="18" customHeight="1" x14ac:dyDescent="0.25"/>
    <row r="1127" s="13" customFormat="1" ht="18" customHeight="1" x14ac:dyDescent="0.25"/>
    <row r="1128" s="13" customFormat="1" ht="18" customHeight="1" x14ac:dyDescent="0.25"/>
    <row r="1129" s="13" customFormat="1" ht="18" customHeight="1" x14ac:dyDescent="0.25"/>
    <row r="1130" s="13" customFormat="1" ht="18" customHeight="1" x14ac:dyDescent="0.25"/>
    <row r="1131" s="13" customFormat="1" ht="18" customHeight="1" x14ac:dyDescent="0.25"/>
    <row r="1132" s="13" customFormat="1" ht="18" customHeight="1" x14ac:dyDescent="0.25"/>
    <row r="1133" s="13" customFormat="1" ht="18" customHeight="1" x14ac:dyDescent="0.25"/>
    <row r="1134" s="13" customFormat="1" ht="18" customHeight="1" x14ac:dyDescent="0.25"/>
    <row r="1135" s="13" customFormat="1" ht="18" customHeight="1" x14ac:dyDescent="0.25"/>
    <row r="1136" s="13" customFormat="1" ht="18" customHeight="1" x14ac:dyDescent="0.25"/>
    <row r="1137" s="13" customFormat="1" ht="18" customHeight="1" x14ac:dyDescent="0.25"/>
    <row r="1138" s="13" customFormat="1" ht="18" customHeight="1" x14ac:dyDescent="0.25"/>
    <row r="1139" s="13" customFormat="1" ht="18" customHeight="1" x14ac:dyDescent="0.25"/>
    <row r="1140" s="13" customFormat="1" ht="18" customHeight="1" x14ac:dyDescent="0.25"/>
    <row r="1141" s="13" customFormat="1" ht="18" customHeight="1" x14ac:dyDescent="0.25"/>
    <row r="1142" s="13" customFormat="1" ht="18" customHeight="1" x14ac:dyDescent="0.25"/>
    <row r="1143" s="13" customFormat="1" ht="18" customHeight="1" x14ac:dyDescent="0.25"/>
    <row r="1144" s="13" customFormat="1" ht="18" customHeight="1" x14ac:dyDescent="0.25"/>
    <row r="1145" s="13" customFormat="1" ht="18" customHeight="1" x14ac:dyDescent="0.25"/>
    <row r="1146" s="13" customFormat="1" ht="18" customHeight="1" x14ac:dyDescent="0.25"/>
    <row r="1147" s="13" customFormat="1" ht="18" customHeight="1" x14ac:dyDescent="0.25"/>
    <row r="1148" s="13" customFormat="1" ht="18" customHeight="1" x14ac:dyDescent="0.25"/>
    <row r="1149" s="13" customFormat="1" ht="18" customHeight="1" x14ac:dyDescent="0.25"/>
    <row r="1150" s="13" customFormat="1" ht="18" customHeight="1" x14ac:dyDescent="0.25"/>
    <row r="1151" s="13" customFormat="1" ht="18" customHeight="1" x14ac:dyDescent="0.25"/>
    <row r="1152" s="13" customFormat="1" ht="18" customHeight="1" x14ac:dyDescent="0.25"/>
    <row r="1153" s="13" customFormat="1" ht="18" customHeight="1" x14ac:dyDescent="0.25"/>
    <row r="1154" s="13" customFormat="1" ht="18" customHeight="1" x14ac:dyDescent="0.25"/>
    <row r="1155" s="13" customFormat="1" ht="18" customHeight="1" x14ac:dyDescent="0.25"/>
    <row r="1156" s="13" customFormat="1" ht="18" customHeight="1" x14ac:dyDescent="0.25"/>
    <row r="1157" s="13" customFormat="1" ht="18" customHeight="1" x14ac:dyDescent="0.25"/>
    <row r="1158" s="13" customFormat="1" ht="18" customHeight="1" x14ac:dyDescent="0.25"/>
    <row r="1159" s="13" customFormat="1" ht="18" customHeight="1" x14ac:dyDescent="0.25"/>
    <row r="1160" s="13" customFormat="1" ht="18" customHeight="1" x14ac:dyDescent="0.25"/>
    <row r="1161" s="13" customFormat="1" ht="18" customHeight="1" x14ac:dyDescent="0.25"/>
    <row r="1162" s="13" customFormat="1" ht="18" customHeight="1" x14ac:dyDescent="0.25"/>
    <row r="1163" s="13" customFormat="1" ht="18" customHeight="1" x14ac:dyDescent="0.25"/>
    <row r="1164" s="13" customFormat="1" ht="18" customHeight="1" x14ac:dyDescent="0.25"/>
    <row r="1165" s="13" customFormat="1" ht="18" customHeight="1" x14ac:dyDescent="0.25"/>
    <row r="1166" s="13" customFormat="1" ht="18" customHeight="1" x14ac:dyDescent="0.25"/>
    <row r="1167" s="13" customFormat="1" ht="18" customHeight="1" x14ac:dyDescent="0.25"/>
    <row r="1168" s="13" customFormat="1" ht="18" customHeight="1" x14ac:dyDescent="0.25"/>
    <row r="1169" s="13" customFormat="1" ht="18" customHeight="1" x14ac:dyDescent="0.25"/>
    <row r="1170" s="13" customFormat="1" ht="18" customHeight="1" x14ac:dyDescent="0.25"/>
    <row r="1171" s="13" customFormat="1" ht="18" customHeight="1" x14ac:dyDescent="0.25"/>
    <row r="1172" s="13" customFormat="1" ht="18" customHeight="1" x14ac:dyDescent="0.25"/>
    <row r="1173" s="13" customFormat="1" ht="18" customHeight="1" x14ac:dyDescent="0.25"/>
    <row r="1174" s="13" customFormat="1" ht="18" customHeight="1" x14ac:dyDescent="0.25"/>
    <row r="1175" s="13" customFormat="1" ht="18" customHeight="1" x14ac:dyDescent="0.25"/>
    <row r="1176" s="13" customFormat="1" ht="18" customHeight="1" x14ac:dyDescent="0.25"/>
    <row r="1177" s="13" customFormat="1" ht="18" customHeight="1" x14ac:dyDescent="0.25"/>
    <row r="1178" s="13" customFormat="1" ht="18" customHeight="1" x14ac:dyDescent="0.25"/>
    <row r="1179" s="13" customFormat="1" ht="18" customHeight="1" x14ac:dyDescent="0.25"/>
    <row r="1180" s="13" customFormat="1" ht="18" customHeight="1" x14ac:dyDescent="0.25"/>
    <row r="1181" s="13" customFormat="1" ht="18" customHeight="1" x14ac:dyDescent="0.25"/>
    <row r="1182" s="13" customFormat="1" ht="18" customHeight="1" x14ac:dyDescent="0.25"/>
    <row r="1183" s="13" customFormat="1" ht="18" customHeight="1" x14ac:dyDescent="0.25"/>
    <row r="1184" s="13" customFormat="1" ht="18" customHeight="1" x14ac:dyDescent="0.25"/>
    <row r="1185" s="13" customFormat="1" ht="18" customHeight="1" x14ac:dyDescent="0.25"/>
    <row r="1186" s="13" customFormat="1" ht="18" customHeight="1" x14ac:dyDescent="0.25"/>
    <row r="1187" s="13" customFormat="1" ht="18" customHeight="1" x14ac:dyDescent="0.25"/>
    <row r="1188" s="13" customFormat="1" ht="18" customHeight="1" x14ac:dyDescent="0.25"/>
    <row r="1189" s="13" customFormat="1" ht="18" customHeight="1" x14ac:dyDescent="0.25"/>
    <row r="1190" s="13" customFormat="1" ht="18" customHeight="1" x14ac:dyDescent="0.25"/>
    <row r="1191" s="13" customFormat="1" ht="18" customHeight="1" x14ac:dyDescent="0.25"/>
    <row r="1192" s="13" customFormat="1" ht="18" customHeight="1" x14ac:dyDescent="0.25"/>
    <row r="1193" s="13" customFormat="1" ht="18" customHeight="1" x14ac:dyDescent="0.25"/>
    <row r="1194" s="13" customFormat="1" ht="18" customHeight="1" x14ac:dyDescent="0.25"/>
    <row r="1195" s="13" customFormat="1" ht="18" customHeight="1" x14ac:dyDescent="0.25"/>
    <row r="1196" s="13" customFormat="1" ht="18" customHeight="1" x14ac:dyDescent="0.25"/>
    <row r="1197" s="13" customFormat="1" ht="18" customHeight="1" x14ac:dyDescent="0.25"/>
    <row r="1198" s="13" customFormat="1" ht="18" customHeight="1" x14ac:dyDescent="0.25"/>
    <row r="1199" s="13" customFormat="1" ht="18" customHeight="1" x14ac:dyDescent="0.25"/>
    <row r="1200" s="13" customFormat="1" ht="18" customHeight="1" x14ac:dyDescent="0.25"/>
    <row r="1201" s="13" customFormat="1" ht="18" customHeight="1" x14ac:dyDescent="0.25"/>
    <row r="1202" s="13" customFormat="1" ht="18" customHeight="1" x14ac:dyDescent="0.25"/>
    <row r="1203" s="13" customFormat="1" ht="18" customHeight="1" x14ac:dyDescent="0.25"/>
    <row r="1204" s="13" customFormat="1" ht="18" customHeight="1" x14ac:dyDescent="0.25"/>
    <row r="1205" s="13" customFormat="1" ht="18" customHeight="1" x14ac:dyDescent="0.25"/>
    <row r="1206" s="13" customFormat="1" ht="18" customHeight="1" x14ac:dyDescent="0.25"/>
    <row r="1207" s="13" customFormat="1" ht="18" customHeight="1" x14ac:dyDescent="0.25"/>
    <row r="1208" s="13" customFormat="1" ht="18" customHeight="1" x14ac:dyDescent="0.25"/>
    <row r="1209" s="13" customFormat="1" ht="18" customHeight="1" x14ac:dyDescent="0.25"/>
    <row r="1210" s="13" customFormat="1" ht="18" customHeight="1" x14ac:dyDescent="0.25"/>
    <row r="1211" s="13" customFormat="1" ht="18" customHeight="1" x14ac:dyDescent="0.25"/>
    <row r="1212" s="13" customFormat="1" ht="18" customHeight="1" x14ac:dyDescent="0.25"/>
    <row r="1213" s="13" customFormat="1" ht="18" customHeight="1" x14ac:dyDescent="0.25"/>
    <row r="1214" s="13" customFormat="1" ht="18" customHeight="1" x14ac:dyDescent="0.25"/>
    <row r="1215" s="13" customFormat="1" ht="18" customHeight="1" x14ac:dyDescent="0.25"/>
    <row r="1216" s="13" customFormat="1" ht="18" customHeight="1" x14ac:dyDescent="0.25"/>
    <row r="1217" s="13" customFormat="1" ht="18" customHeight="1" x14ac:dyDescent="0.25"/>
    <row r="1218" s="13" customFormat="1" ht="18" customHeight="1" x14ac:dyDescent="0.25"/>
    <row r="1219" s="13" customFormat="1" ht="18" customHeight="1" x14ac:dyDescent="0.25"/>
    <row r="1220" s="13" customFormat="1" ht="18" customHeight="1" x14ac:dyDescent="0.25"/>
    <row r="1221" s="13" customFormat="1" ht="18" customHeight="1" x14ac:dyDescent="0.25"/>
    <row r="1222" s="13" customFormat="1" ht="18" customHeight="1" x14ac:dyDescent="0.25"/>
    <row r="1223" s="13" customFormat="1" ht="18" customHeight="1" x14ac:dyDescent="0.25"/>
    <row r="1224" s="13" customFormat="1" ht="18" customHeight="1" x14ac:dyDescent="0.25"/>
    <row r="1225" s="13" customFormat="1" ht="18" customHeight="1" x14ac:dyDescent="0.25"/>
    <row r="1226" s="13" customFormat="1" ht="18" customHeight="1" x14ac:dyDescent="0.25"/>
    <row r="1227" s="13" customFormat="1" ht="18" customHeight="1" x14ac:dyDescent="0.25"/>
    <row r="1228" s="13" customFormat="1" ht="18" customHeight="1" x14ac:dyDescent="0.25"/>
    <row r="1229" s="13" customFormat="1" ht="18" customHeight="1" x14ac:dyDescent="0.25"/>
    <row r="1230" s="13" customFormat="1" ht="18" customHeight="1" x14ac:dyDescent="0.25"/>
    <row r="1231" s="13" customFormat="1" ht="18" customHeight="1" x14ac:dyDescent="0.25"/>
    <row r="1232" s="13" customFormat="1" ht="18" customHeight="1" x14ac:dyDescent="0.25"/>
    <row r="1233" s="13" customFormat="1" ht="18" customHeight="1" x14ac:dyDescent="0.25"/>
    <row r="1234" s="13" customFormat="1" ht="18" customHeight="1" x14ac:dyDescent="0.25"/>
    <row r="1235" s="13" customFormat="1" ht="18" customHeight="1" x14ac:dyDescent="0.25"/>
    <row r="1236" s="13" customFormat="1" ht="18" customHeight="1" x14ac:dyDescent="0.25"/>
    <row r="1237" s="13" customFormat="1" ht="18" customHeight="1" x14ac:dyDescent="0.25"/>
    <row r="1238" s="13" customFormat="1" ht="18" customHeight="1" x14ac:dyDescent="0.25"/>
    <row r="1239" s="13" customFormat="1" ht="18" customHeight="1" x14ac:dyDescent="0.25"/>
    <row r="1240" s="13" customFormat="1" ht="18" customHeight="1" x14ac:dyDescent="0.25"/>
    <row r="1241" s="13" customFormat="1" ht="18" customHeight="1" x14ac:dyDescent="0.25"/>
    <row r="1242" s="13" customFormat="1" ht="18" customHeight="1" x14ac:dyDescent="0.25"/>
    <row r="1243" s="13" customFormat="1" ht="18" customHeight="1" x14ac:dyDescent="0.25"/>
    <row r="1244" s="13" customFormat="1" ht="18" customHeight="1" x14ac:dyDescent="0.25"/>
    <row r="1245" s="13" customFormat="1" ht="18" customHeight="1" x14ac:dyDescent="0.25"/>
    <row r="1246" s="13" customFormat="1" ht="18" customHeight="1" x14ac:dyDescent="0.25"/>
    <row r="1247" s="13" customFormat="1" ht="18" customHeight="1" x14ac:dyDescent="0.25"/>
    <row r="1248" s="13" customFormat="1" ht="18" customHeight="1" x14ac:dyDescent="0.25"/>
    <row r="1249" s="13" customFormat="1" ht="18" customHeight="1" x14ac:dyDescent="0.25"/>
    <row r="1250" s="13" customFormat="1" ht="18" customHeight="1" x14ac:dyDescent="0.25"/>
    <row r="1251" s="13" customFormat="1" ht="18" customHeight="1" x14ac:dyDescent="0.25"/>
    <row r="1252" s="13" customFormat="1" ht="18" customHeight="1" x14ac:dyDescent="0.25"/>
    <row r="1253" s="13" customFormat="1" ht="18" customHeight="1" x14ac:dyDescent="0.25"/>
    <row r="1254" s="13" customFormat="1" ht="18" customHeight="1" x14ac:dyDescent="0.25"/>
    <row r="1255" s="13" customFormat="1" ht="18" customHeight="1" x14ac:dyDescent="0.25"/>
    <row r="1256" s="13" customFormat="1" ht="18" customHeight="1" x14ac:dyDescent="0.25"/>
    <row r="1257" s="13" customFormat="1" ht="18" customHeight="1" x14ac:dyDescent="0.25"/>
    <row r="1258" s="13" customFormat="1" ht="18" customHeight="1" x14ac:dyDescent="0.25"/>
    <row r="1259" s="13" customFormat="1" ht="18" customHeight="1" x14ac:dyDescent="0.25"/>
    <row r="1260" s="13" customFormat="1" ht="18" customHeight="1" x14ac:dyDescent="0.25"/>
    <row r="1261" s="13" customFormat="1" ht="18" customHeight="1" x14ac:dyDescent="0.25"/>
    <row r="1262" s="13" customFormat="1" ht="18" customHeight="1" x14ac:dyDescent="0.25"/>
    <row r="1263" s="13" customFormat="1" ht="18" customHeight="1" x14ac:dyDescent="0.25"/>
    <row r="1264" s="13" customFormat="1" ht="18" customHeight="1" x14ac:dyDescent="0.25"/>
    <row r="1265" s="13" customFormat="1" ht="18" customHeight="1" x14ac:dyDescent="0.25"/>
    <row r="1266" s="13" customFormat="1" ht="18" customHeight="1" x14ac:dyDescent="0.25"/>
    <row r="1267" s="13" customFormat="1" ht="18" customHeight="1" x14ac:dyDescent="0.25"/>
    <row r="1268" s="13" customFormat="1" ht="18" customHeight="1" x14ac:dyDescent="0.25"/>
    <row r="1269" s="13" customFormat="1" ht="18" customHeight="1" x14ac:dyDescent="0.25"/>
    <row r="1270" s="13" customFormat="1" ht="18" customHeight="1" x14ac:dyDescent="0.25"/>
    <row r="1271" s="13" customFormat="1" ht="18" customHeight="1" x14ac:dyDescent="0.25"/>
    <row r="1272" s="13" customFormat="1" ht="18" customHeight="1" x14ac:dyDescent="0.25"/>
    <row r="1273" s="13" customFormat="1" ht="18" customHeight="1" x14ac:dyDescent="0.25"/>
    <row r="1274" s="13" customFormat="1" ht="18" customHeight="1" x14ac:dyDescent="0.25"/>
    <row r="1275" s="13" customFormat="1" ht="18" customHeight="1" x14ac:dyDescent="0.25"/>
    <row r="1276" s="13" customFormat="1" ht="18" customHeight="1" x14ac:dyDescent="0.25"/>
    <row r="1277" s="13" customFormat="1" ht="18" customHeight="1" x14ac:dyDescent="0.25"/>
    <row r="1278" s="13" customFormat="1" ht="18" customHeight="1" x14ac:dyDescent="0.25"/>
    <row r="1279" s="13" customFormat="1" ht="18" customHeight="1" x14ac:dyDescent="0.25"/>
    <row r="1280" s="13" customFormat="1" ht="18" customHeight="1" x14ac:dyDescent="0.25"/>
    <row r="1281" s="13" customFormat="1" ht="18" customHeight="1" x14ac:dyDescent="0.25"/>
    <row r="1282" s="13" customFormat="1" ht="18" customHeight="1" x14ac:dyDescent="0.25"/>
    <row r="1283" s="13" customFormat="1" ht="18" customHeight="1" x14ac:dyDescent="0.25"/>
    <row r="1284" s="13" customFormat="1" ht="18" customHeight="1" x14ac:dyDescent="0.25"/>
    <row r="1285" s="13" customFormat="1" ht="18" customHeight="1" x14ac:dyDescent="0.25"/>
    <row r="1286" s="13" customFormat="1" ht="18" customHeight="1" x14ac:dyDescent="0.25"/>
    <row r="1287" s="13" customFormat="1" ht="18" customHeight="1" x14ac:dyDescent="0.25"/>
    <row r="1288" s="13" customFormat="1" ht="18" customHeight="1" x14ac:dyDescent="0.25"/>
    <row r="1289" s="13" customFormat="1" ht="18" customHeight="1" x14ac:dyDescent="0.25"/>
    <row r="1290" s="13" customFormat="1" ht="18" customHeight="1" x14ac:dyDescent="0.25"/>
    <row r="1291" s="13" customFormat="1" ht="18" customHeight="1" x14ac:dyDescent="0.25"/>
    <row r="1292" s="13" customFormat="1" ht="18" customHeight="1" x14ac:dyDescent="0.25"/>
    <row r="1293" s="13" customFormat="1" ht="18" customHeight="1" x14ac:dyDescent="0.25"/>
    <row r="1294" s="13" customFormat="1" ht="18" customHeight="1" x14ac:dyDescent="0.25"/>
    <row r="1295" s="13" customFormat="1" ht="18" customHeight="1" x14ac:dyDescent="0.25"/>
    <row r="1296" s="13" customFormat="1" ht="18" customHeight="1" x14ac:dyDescent="0.25"/>
    <row r="1297" s="13" customFormat="1" ht="18" customHeight="1" x14ac:dyDescent="0.25"/>
    <row r="1298" s="13" customFormat="1" ht="18" customHeight="1" x14ac:dyDescent="0.25"/>
    <row r="1299" s="13" customFormat="1" ht="18" customHeight="1" x14ac:dyDescent="0.25"/>
    <row r="1300" s="13" customFormat="1" ht="18" customHeight="1" x14ac:dyDescent="0.25"/>
    <row r="1301" s="13" customFormat="1" ht="18" customHeight="1" x14ac:dyDescent="0.25"/>
    <row r="1302" s="13" customFormat="1" ht="18" customHeight="1" x14ac:dyDescent="0.25"/>
    <row r="1303" s="13" customFormat="1" ht="18" customHeight="1" x14ac:dyDescent="0.25"/>
    <row r="1304" s="13" customFormat="1" ht="18" customHeight="1" x14ac:dyDescent="0.25"/>
    <row r="1305" s="13" customFormat="1" ht="18" customHeight="1" x14ac:dyDescent="0.25"/>
    <row r="1306" s="13" customFormat="1" ht="18" customHeight="1" x14ac:dyDescent="0.25"/>
    <row r="1307" s="13" customFormat="1" ht="18" customHeight="1" x14ac:dyDescent="0.25"/>
    <row r="1308" s="13" customFormat="1" ht="18" customHeight="1" x14ac:dyDescent="0.25"/>
    <row r="1309" s="13" customFormat="1" ht="18" customHeight="1" x14ac:dyDescent="0.25"/>
    <row r="1310" s="13" customFormat="1" ht="18" customHeight="1" x14ac:dyDescent="0.25"/>
    <row r="1311" s="13" customFormat="1" ht="18" customHeight="1" x14ac:dyDescent="0.25"/>
    <row r="1312" s="13" customFormat="1" ht="18" customHeight="1" x14ac:dyDescent="0.25"/>
    <row r="1313" s="13" customFormat="1" ht="18" customHeight="1" x14ac:dyDescent="0.25"/>
    <row r="1314" s="13" customFormat="1" ht="18" customHeight="1" x14ac:dyDescent="0.25"/>
    <row r="1315" s="13" customFormat="1" ht="18" customHeight="1" x14ac:dyDescent="0.25"/>
    <row r="1316" s="13" customFormat="1" ht="18" customHeight="1" x14ac:dyDescent="0.25"/>
    <row r="1317" s="13" customFormat="1" ht="18" customHeight="1" x14ac:dyDescent="0.25"/>
    <row r="1318" s="13" customFormat="1" ht="18" customHeight="1" x14ac:dyDescent="0.25"/>
    <row r="1319" s="13" customFormat="1" ht="18" customHeight="1" x14ac:dyDescent="0.25"/>
    <row r="1320" s="13" customFormat="1" ht="18" customHeight="1" x14ac:dyDescent="0.25"/>
    <row r="1321" s="13" customFormat="1" ht="18" customHeight="1" x14ac:dyDescent="0.25"/>
    <row r="1322" s="13" customFormat="1" ht="18" customHeight="1" x14ac:dyDescent="0.25"/>
    <row r="1323" s="13" customFormat="1" ht="18" customHeight="1" x14ac:dyDescent="0.25"/>
    <row r="1324" s="13" customFormat="1" ht="18" customHeight="1" x14ac:dyDescent="0.25"/>
    <row r="1325" s="13" customFormat="1" ht="18" customHeight="1" x14ac:dyDescent="0.25"/>
    <row r="1326" s="13" customFormat="1" ht="18" customHeight="1" x14ac:dyDescent="0.25"/>
    <row r="1327" s="13" customFormat="1" ht="18" customHeight="1" x14ac:dyDescent="0.25"/>
    <row r="1328" s="13" customFormat="1" ht="18" customHeight="1" x14ac:dyDescent="0.25"/>
    <row r="1329" s="13" customFormat="1" ht="18" customHeight="1" x14ac:dyDescent="0.25"/>
    <row r="1330" s="13" customFormat="1" ht="18" customHeight="1" x14ac:dyDescent="0.25"/>
    <row r="1331" s="13" customFormat="1" ht="18" customHeight="1" x14ac:dyDescent="0.25"/>
    <row r="1332" s="13" customFormat="1" ht="18" customHeight="1" x14ac:dyDescent="0.25"/>
    <row r="1333" s="13" customFormat="1" ht="18" customHeight="1" x14ac:dyDescent="0.25"/>
    <row r="1334" s="13" customFormat="1" ht="18" customHeight="1" x14ac:dyDescent="0.25"/>
    <row r="1335" s="13" customFormat="1" ht="18" customHeight="1" x14ac:dyDescent="0.25"/>
    <row r="1336" s="13" customFormat="1" ht="18" customHeight="1" x14ac:dyDescent="0.25"/>
    <row r="1337" s="13" customFormat="1" ht="18" customHeight="1" x14ac:dyDescent="0.25"/>
    <row r="1338" s="13" customFormat="1" ht="18" customHeight="1" x14ac:dyDescent="0.25"/>
    <row r="1339" s="13" customFormat="1" ht="18" customHeight="1" x14ac:dyDescent="0.25"/>
    <row r="1340" s="13" customFormat="1" ht="18" customHeight="1" x14ac:dyDescent="0.25"/>
    <row r="1341" s="13" customFormat="1" ht="18" customHeight="1" x14ac:dyDescent="0.25"/>
    <row r="1342" s="13" customFormat="1" ht="18" customHeight="1" x14ac:dyDescent="0.25"/>
    <row r="1343" s="13" customFormat="1" ht="18" customHeight="1" x14ac:dyDescent="0.25"/>
    <row r="1344" s="13" customFormat="1" ht="18" customHeight="1" x14ac:dyDescent="0.25"/>
    <row r="1345" s="13" customFormat="1" ht="18" customHeight="1" x14ac:dyDescent="0.25"/>
    <row r="1346" s="13" customFormat="1" ht="18" customHeight="1" x14ac:dyDescent="0.25"/>
    <row r="1347" s="13" customFormat="1" ht="18" customHeight="1" x14ac:dyDescent="0.25"/>
    <row r="1348" s="13" customFormat="1" ht="18" customHeight="1" x14ac:dyDescent="0.25"/>
    <row r="1349" s="13" customFormat="1" ht="18" customHeight="1" x14ac:dyDescent="0.25"/>
    <row r="1350" s="13" customFormat="1" ht="18" customHeight="1" x14ac:dyDescent="0.25"/>
    <row r="1351" s="13" customFormat="1" ht="18" customHeight="1" x14ac:dyDescent="0.25"/>
    <row r="1352" s="13" customFormat="1" ht="18" customHeight="1" x14ac:dyDescent="0.25"/>
    <row r="1353" s="13" customFormat="1" ht="18" customHeight="1" x14ac:dyDescent="0.25"/>
    <row r="1354" s="13" customFormat="1" ht="18" customHeight="1" x14ac:dyDescent="0.25"/>
    <row r="1355" s="13" customFormat="1" ht="18" customHeight="1" x14ac:dyDescent="0.25"/>
    <row r="1356" s="13" customFormat="1" ht="18" customHeight="1" x14ac:dyDescent="0.25"/>
    <row r="1357" s="13" customFormat="1" ht="18" customHeight="1" x14ac:dyDescent="0.25"/>
    <row r="1358" s="13" customFormat="1" ht="18" customHeight="1" x14ac:dyDescent="0.25"/>
    <row r="1359" s="13" customFormat="1" ht="18" customHeight="1" x14ac:dyDescent="0.25"/>
    <row r="1360" s="13" customFormat="1" ht="18" customHeight="1" x14ac:dyDescent="0.25"/>
    <row r="1361" s="13" customFormat="1" ht="18" customHeight="1" x14ac:dyDescent="0.25"/>
    <row r="1362" s="13" customFormat="1" ht="18" customHeight="1" x14ac:dyDescent="0.25"/>
    <row r="1363" s="13" customFormat="1" ht="18" customHeight="1" x14ac:dyDescent="0.25"/>
    <row r="1364" s="13" customFormat="1" ht="18" customHeight="1" x14ac:dyDescent="0.25"/>
    <row r="1365" s="13" customFormat="1" ht="18" customHeight="1" x14ac:dyDescent="0.25"/>
    <row r="1366" s="13" customFormat="1" ht="18" customHeight="1" x14ac:dyDescent="0.25"/>
    <row r="1367" s="13" customFormat="1" ht="18" customHeight="1" x14ac:dyDescent="0.25"/>
    <row r="1368" s="13" customFormat="1" ht="18" customHeight="1" x14ac:dyDescent="0.25"/>
    <row r="1369" s="13" customFormat="1" ht="18" customHeight="1" x14ac:dyDescent="0.25"/>
    <row r="1370" s="13" customFormat="1" ht="18" customHeight="1" x14ac:dyDescent="0.25"/>
    <row r="1371" s="13" customFormat="1" ht="18" customHeight="1" x14ac:dyDescent="0.25"/>
    <row r="1372" s="13" customFormat="1" ht="18" customHeight="1" x14ac:dyDescent="0.25"/>
    <row r="1373" s="13" customFormat="1" ht="18" customHeight="1" x14ac:dyDescent="0.25"/>
    <row r="1374" s="13" customFormat="1" ht="18" customHeight="1" x14ac:dyDescent="0.25"/>
    <row r="1375" s="13" customFormat="1" ht="18" customHeight="1" x14ac:dyDescent="0.25"/>
    <row r="1376" s="13" customFormat="1" ht="18" customHeight="1" x14ac:dyDescent="0.25"/>
    <row r="1377" s="13" customFormat="1" ht="18" customHeight="1" x14ac:dyDescent="0.25"/>
    <row r="1378" s="13" customFormat="1" ht="18" customHeight="1" x14ac:dyDescent="0.25"/>
    <row r="1379" s="13" customFormat="1" ht="18" customHeight="1" x14ac:dyDescent="0.25"/>
    <row r="1380" s="13" customFormat="1" ht="18" customHeight="1" x14ac:dyDescent="0.25"/>
    <row r="1381" s="13" customFormat="1" ht="18" customHeight="1" x14ac:dyDescent="0.25"/>
    <row r="1382" s="13" customFormat="1" ht="18" customHeight="1" x14ac:dyDescent="0.25"/>
    <row r="1383" s="13" customFormat="1" ht="18" customHeight="1" x14ac:dyDescent="0.25"/>
    <row r="1384" s="13" customFormat="1" ht="18" customHeight="1" x14ac:dyDescent="0.25"/>
    <row r="1385" s="13" customFormat="1" ht="18" customHeight="1" x14ac:dyDescent="0.25"/>
    <row r="1386" s="13" customFormat="1" ht="18" customHeight="1" x14ac:dyDescent="0.25"/>
    <row r="1387" s="13" customFormat="1" ht="18" customHeight="1" x14ac:dyDescent="0.25"/>
    <row r="1388" s="13" customFormat="1" ht="18" customHeight="1" x14ac:dyDescent="0.25"/>
    <row r="1389" s="13" customFormat="1" ht="18" customHeight="1" x14ac:dyDescent="0.25"/>
    <row r="1390" s="13" customFormat="1" ht="18" customHeight="1" x14ac:dyDescent="0.25"/>
    <row r="1391" s="13" customFormat="1" ht="18" customHeight="1" x14ac:dyDescent="0.25"/>
    <row r="1392" s="13" customFormat="1" ht="18" customHeight="1" x14ac:dyDescent="0.25"/>
    <row r="1393" s="13" customFormat="1" ht="18" customHeight="1" x14ac:dyDescent="0.25"/>
    <row r="1394" s="13" customFormat="1" ht="18" customHeight="1" x14ac:dyDescent="0.25"/>
    <row r="1395" s="13" customFormat="1" ht="18" customHeight="1" x14ac:dyDescent="0.25"/>
    <row r="1396" s="13" customFormat="1" ht="18" customHeight="1" x14ac:dyDescent="0.25"/>
    <row r="1397" s="13" customFormat="1" ht="18" customHeight="1" x14ac:dyDescent="0.25"/>
    <row r="1398" s="13" customFormat="1" ht="18" customHeight="1" x14ac:dyDescent="0.25"/>
    <row r="1399" s="13" customFormat="1" ht="18" customHeight="1" x14ac:dyDescent="0.25"/>
    <row r="1400" s="13" customFormat="1" ht="18" customHeight="1" x14ac:dyDescent="0.25"/>
    <row r="1401" s="13" customFormat="1" ht="18" customHeight="1" x14ac:dyDescent="0.25"/>
    <row r="1402" s="13" customFormat="1" ht="18" customHeight="1" x14ac:dyDescent="0.25"/>
    <row r="1403" s="13" customFormat="1" ht="18" customHeight="1" x14ac:dyDescent="0.25"/>
    <row r="1404" s="13" customFormat="1" ht="18" customHeight="1" x14ac:dyDescent="0.25"/>
    <row r="1405" s="13" customFormat="1" ht="18" customHeight="1" x14ac:dyDescent="0.25"/>
    <row r="1406" s="13" customFormat="1" ht="18" customHeight="1" x14ac:dyDescent="0.25"/>
    <row r="1407" s="13" customFormat="1" ht="18" customHeight="1" x14ac:dyDescent="0.25"/>
    <row r="1408" s="13" customFormat="1" ht="18" customHeight="1" x14ac:dyDescent="0.25"/>
    <row r="1409" s="13" customFormat="1" ht="18" customHeight="1" x14ac:dyDescent="0.25"/>
    <row r="1410" s="13" customFormat="1" ht="18" customHeight="1" x14ac:dyDescent="0.25"/>
    <row r="1411" s="13" customFormat="1" ht="18" customHeight="1" x14ac:dyDescent="0.25"/>
    <row r="1412" s="13" customFormat="1" ht="18" customHeight="1" x14ac:dyDescent="0.25"/>
    <row r="1413" s="13" customFormat="1" ht="18" customHeight="1" x14ac:dyDescent="0.25"/>
    <row r="1414" s="13" customFormat="1" ht="18" customHeight="1" x14ac:dyDescent="0.25"/>
    <row r="1415" s="13" customFormat="1" ht="18" customHeight="1" x14ac:dyDescent="0.25"/>
    <row r="1416" s="13" customFormat="1" ht="18" customHeight="1" x14ac:dyDescent="0.25"/>
    <row r="1417" s="13" customFormat="1" ht="18" customHeight="1" x14ac:dyDescent="0.25"/>
    <row r="1418" s="13" customFormat="1" ht="18" customHeight="1" x14ac:dyDescent="0.25"/>
    <row r="1419" s="13" customFormat="1" ht="18" customHeight="1" x14ac:dyDescent="0.25"/>
    <row r="1420" s="13" customFormat="1" ht="18" customHeight="1" x14ac:dyDescent="0.25"/>
    <row r="1421" s="13" customFormat="1" ht="18" customHeight="1" x14ac:dyDescent="0.25"/>
    <row r="1422" s="13" customFormat="1" ht="18" customHeight="1" x14ac:dyDescent="0.25"/>
    <row r="1423" s="13" customFormat="1" ht="18" customHeight="1" x14ac:dyDescent="0.25"/>
    <row r="1424" s="13" customFormat="1" ht="18" customHeight="1" x14ac:dyDescent="0.25"/>
    <row r="1425" s="13" customFormat="1" ht="18" customHeight="1" x14ac:dyDescent="0.25"/>
    <row r="1426" s="13" customFormat="1" ht="18" customHeight="1" x14ac:dyDescent="0.25"/>
    <row r="1427" s="13" customFormat="1" ht="18" customHeight="1" x14ac:dyDescent="0.25"/>
    <row r="1428" s="13" customFormat="1" ht="18" customHeight="1" x14ac:dyDescent="0.25"/>
    <row r="1429" s="13" customFormat="1" ht="18" customHeight="1" x14ac:dyDescent="0.25"/>
    <row r="1430" s="13" customFormat="1" ht="18" customHeight="1" x14ac:dyDescent="0.25"/>
    <row r="1431" s="13" customFormat="1" ht="18" customHeight="1" x14ac:dyDescent="0.25"/>
    <row r="1432" s="13" customFormat="1" ht="18" customHeight="1" x14ac:dyDescent="0.25"/>
    <row r="1433" s="13" customFormat="1" ht="18" customHeight="1" x14ac:dyDescent="0.25"/>
    <row r="1434" s="13" customFormat="1" ht="18" customHeight="1" x14ac:dyDescent="0.25"/>
    <row r="1435" s="13" customFormat="1" ht="18" customHeight="1" x14ac:dyDescent="0.25"/>
    <row r="1436" s="13" customFormat="1" ht="18" customHeight="1" x14ac:dyDescent="0.25"/>
    <row r="1437" s="13" customFormat="1" ht="18" customHeight="1" x14ac:dyDescent="0.25"/>
    <row r="1438" s="13" customFormat="1" ht="18" customHeight="1" x14ac:dyDescent="0.25"/>
    <row r="1439" s="13" customFormat="1" ht="18" customHeight="1" x14ac:dyDescent="0.25"/>
    <row r="1440" s="13" customFormat="1" ht="18" customHeight="1" x14ac:dyDescent="0.25"/>
    <row r="1441" s="13" customFormat="1" ht="18" customHeight="1" x14ac:dyDescent="0.25"/>
    <row r="1442" s="13" customFormat="1" ht="18" customHeight="1" x14ac:dyDescent="0.25"/>
    <row r="1443" s="13" customFormat="1" ht="18" customHeight="1" x14ac:dyDescent="0.25"/>
    <row r="1444" s="13" customFormat="1" ht="18" customHeight="1" x14ac:dyDescent="0.25"/>
    <row r="1445" s="13" customFormat="1" ht="18" customHeight="1" x14ac:dyDescent="0.25"/>
    <row r="1446" s="13" customFormat="1" ht="18" customHeight="1" x14ac:dyDescent="0.25"/>
    <row r="1447" s="13" customFormat="1" ht="18" customHeight="1" x14ac:dyDescent="0.25"/>
    <row r="1448" s="13" customFormat="1" ht="18" customHeight="1" x14ac:dyDescent="0.25"/>
    <row r="1449" s="13" customFormat="1" ht="18" customHeight="1" x14ac:dyDescent="0.25"/>
    <row r="1450" s="13" customFormat="1" ht="18" customHeight="1" x14ac:dyDescent="0.25"/>
    <row r="1451" s="13" customFormat="1" ht="18" customHeight="1" x14ac:dyDescent="0.25"/>
    <row r="1452" s="13" customFormat="1" ht="18" customHeight="1" x14ac:dyDescent="0.25"/>
    <row r="1453" s="13" customFormat="1" ht="18" customHeight="1" x14ac:dyDescent="0.25"/>
    <row r="1454" s="13" customFormat="1" ht="18" customHeight="1" x14ac:dyDescent="0.25"/>
    <row r="1455" s="13" customFormat="1" ht="18" customHeight="1" x14ac:dyDescent="0.25"/>
    <row r="1456" s="13" customFormat="1" ht="18" customHeight="1" x14ac:dyDescent="0.25"/>
    <row r="1457" s="13" customFormat="1" ht="18" customHeight="1" x14ac:dyDescent="0.25"/>
    <row r="1458" s="13" customFormat="1" ht="18" customHeight="1" x14ac:dyDescent="0.25"/>
    <row r="1459" s="13" customFormat="1" ht="18" customHeight="1" x14ac:dyDescent="0.25"/>
    <row r="1460" s="13" customFormat="1" ht="18" customHeight="1" x14ac:dyDescent="0.25"/>
    <row r="1461" s="13" customFormat="1" ht="18" customHeight="1" x14ac:dyDescent="0.25"/>
    <row r="1462" s="13" customFormat="1" ht="18" customHeight="1" x14ac:dyDescent="0.25"/>
    <row r="1463" s="13" customFormat="1" ht="18" customHeight="1" x14ac:dyDescent="0.25"/>
    <row r="1464" s="13" customFormat="1" ht="18" customHeight="1" x14ac:dyDescent="0.25"/>
    <row r="1465" s="13" customFormat="1" ht="18" customHeight="1" x14ac:dyDescent="0.25"/>
    <row r="1466" s="13" customFormat="1" ht="18" customHeight="1" x14ac:dyDescent="0.25"/>
    <row r="1467" s="13" customFormat="1" ht="18" customHeight="1" x14ac:dyDescent="0.25"/>
    <row r="1468" s="13" customFormat="1" ht="18" customHeight="1" x14ac:dyDescent="0.25"/>
    <row r="1469" s="13" customFormat="1" ht="18" customHeight="1" x14ac:dyDescent="0.25"/>
    <row r="1470" s="13" customFormat="1" ht="18" customHeight="1" x14ac:dyDescent="0.25"/>
    <row r="1471" s="13" customFormat="1" ht="18" customHeight="1" x14ac:dyDescent="0.25"/>
    <row r="1472" s="13" customFormat="1" ht="18" customHeight="1" x14ac:dyDescent="0.25"/>
    <row r="1473" s="13" customFormat="1" ht="18" customHeight="1" x14ac:dyDescent="0.25"/>
    <row r="1474" s="13" customFormat="1" ht="18" customHeight="1" x14ac:dyDescent="0.25"/>
    <row r="1475" s="13" customFormat="1" ht="18" customHeight="1" x14ac:dyDescent="0.25"/>
    <row r="1476" s="13" customFormat="1" ht="18" customHeight="1" x14ac:dyDescent="0.25"/>
    <row r="1477" s="13" customFormat="1" ht="18" customHeight="1" x14ac:dyDescent="0.25"/>
    <row r="1478" s="13" customFormat="1" ht="18" customHeight="1" x14ac:dyDescent="0.25"/>
    <row r="1479" s="13" customFormat="1" ht="18" customHeight="1" x14ac:dyDescent="0.25"/>
    <row r="1480" s="13" customFormat="1" ht="18" customHeight="1" x14ac:dyDescent="0.25"/>
    <row r="1481" s="13" customFormat="1" ht="18" customHeight="1" x14ac:dyDescent="0.25"/>
    <row r="1482" s="13" customFormat="1" ht="18" customHeight="1" x14ac:dyDescent="0.25"/>
    <row r="1483" s="13" customFormat="1" ht="18" customHeight="1" x14ac:dyDescent="0.25"/>
    <row r="1484" s="13" customFormat="1" ht="18" customHeight="1" x14ac:dyDescent="0.25"/>
    <row r="1485" s="13" customFormat="1" ht="18" customHeight="1" x14ac:dyDescent="0.25"/>
    <row r="1486" s="13" customFormat="1" ht="18" customHeight="1" x14ac:dyDescent="0.25"/>
    <row r="1487" s="13" customFormat="1" ht="18" customHeight="1" x14ac:dyDescent="0.25"/>
    <row r="1488" s="13" customFormat="1" ht="18" customHeight="1" x14ac:dyDescent="0.25"/>
    <row r="1489" s="13" customFormat="1" ht="18" customHeight="1" x14ac:dyDescent="0.25"/>
    <row r="1490" s="13" customFormat="1" ht="18" customHeight="1" x14ac:dyDescent="0.25"/>
    <row r="1491" s="13" customFormat="1" ht="18" customHeight="1" x14ac:dyDescent="0.25"/>
    <row r="1492" s="13" customFormat="1" ht="18" customHeight="1" x14ac:dyDescent="0.25"/>
    <row r="1493" s="13" customFormat="1" ht="18" customHeight="1" x14ac:dyDescent="0.25"/>
    <row r="1494" s="13" customFormat="1" ht="18" customHeight="1" x14ac:dyDescent="0.25"/>
    <row r="1495" s="13" customFormat="1" ht="18" customHeight="1" x14ac:dyDescent="0.25"/>
    <row r="1496" s="13" customFormat="1" ht="18" customHeight="1" x14ac:dyDescent="0.25"/>
    <row r="1497" s="13" customFormat="1" ht="18" customHeight="1" x14ac:dyDescent="0.25"/>
    <row r="1498" s="13" customFormat="1" ht="18" customHeight="1" x14ac:dyDescent="0.25"/>
    <row r="1499" s="13" customFormat="1" ht="18" customHeight="1" x14ac:dyDescent="0.25"/>
    <row r="1500" s="13" customFormat="1" ht="18" customHeight="1" x14ac:dyDescent="0.25"/>
    <row r="1501" s="13" customFormat="1" ht="18" customHeight="1" x14ac:dyDescent="0.25"/>
    <row r="1502" s="13" customFormat="1" ht="18" customHeight="1" x14ac:dyDescent="0.25"/>
    <row r="1503" s="13" customFormat="1" ht="18" customHeight="1" x14ac:dyDescent="0.25"/>
    <row r="1504" s="13" customFormat="1" ht="18" customHeight="1" x14ac:dyDescent="0.25"/>
    <row r="1505" s="13" customFormat="1" ht="18" customHeight="1" x14ac:dyDescent="0.25"/>
    <row r="1506" s="13" customFormat="1" ht="18" customHeight="1" x14ac:dyDescent="0.25"/>
    <row r="1507" s="13" customFormat="1" ht="18" customHeight="1" x14ac:dyDescent="0.25"/>
    <row r="1508" s="13" customFormat="1" ht="18" customHeight="1" x14ac:dyDescent="0.25"/>
    <row r="1509" s="13" customFormat="1" ht="18" customHeight="1" x14ac:dyDescent="0.25"/>
    <row r="1510" s="13" customFormat="1" ht="18" customHeight="1" x14ac:dyDescent="0.25"/>
    <row r="1511" s="13" customFormat="1" ht="18" customHeight="1" x14ac:dyDescent="0.25"/>
    <row r="1512" s="13" customFormat="1" ht="18" customHeight="1" x14ac:dyDescent="0.25"/>
    <row r="1513" s="13" customFormat="1" ht="18" customHeight="1" x14ac:dyDescent="0.25"/>
    <row r="1514" s="13" customFormat="1" ht="18" customHeight="1" x14ac:dyDescent="0.25"/>
    <row r="1515" s="13" customFormat="1" ht="18" customHeight="1" x14ac:dyDescent="0.25"/>
    <row r="1516" s="13" customFormat="1" ht="18" customHeight="1" x14ac:dyDescent="0.25"/>
    <row r="1517" s="13" customFormat="1" ht="18" customHeight="1" x14ac:dyDescent="0.25"/>
    <row r="1518" s="13" customFormat="1" ht="18" customHeight="1" x14ac:dyDescent="0.25"/>
    <row r="1519" s="13" customFormat="1" ht="18" customHeight="1" x14ac:dyDescent="0.25"/>
    <row r="1520" s="13" customFormat="1" ht="18" customHeight="1" x14ac:dyDescent="0.25"/>
    <row r="1521" s="13" customFormat="1" ht="18" customHeight="1" x14ac:dyDescent="0.25"/>
    <row r="1522" s="13" customFormat="1" ht="18" customHeight="1" x14ac:dyDescent="0.25"/>
    <row r="1523" s="13" customFormat="1" ht="18" customHeight="1" x14ac:dyDescent="0.25"/>
    <row r="1524" s="13" customFormat="1" ht="18" customHeight="1" x14ac:dyDescent="0.25"/>
    <row r="1525" s="13" customFormat="1" ht="18" customHeight="1" x14ac:dyDescent="0.25"/>
    <row r="1526" s="13" customFormat="1" ht="18" customHeight="1" x14ac:dyDescent="0.25"/>
    <row r="1527" s="13" customFormat="1" ht="18" customHeight="1" x14ac:dyDescent="0.25"/>
    <row r="1528" s="13" customFormat="1" ht="18" customHeight="1" x14ac:dyDescent="0.25"/>
    <row r="1529" s="13" customFormat="1" ht="18" customHeight="1" x14ac:dyDescent="0.25"/>
    <row r="1530" s="13" customFormat="1" ht="18" customHeight="1" x14ac:dyDescent="0.25"/>
    <row r="1531" s="13" customFormat="1" ht="18" customHeight="1" x14ac:dyDescent="0.25"/>
    <row r="1532" s="13" customFormat="1" ht="18" customHeight="1" x14ac:dyDescent="0.25"/>
    <row r="1533" s="13" customFormat="1" ht="18" customHeight="1" x14ac:dyDescent="0.25"/>
    <row r="1534" s="13" customFormat="1" ht="18" customHeight="1" x14ac:dyDescent="0.25"/>
    <row r="1535" s="13" customFormat="1" ht="18" customHeight="1" x14ac:dyDescent="0.25"/>
    <row r="1536" s="13" customFormat="1" ht="18" customHeight="1" x14ac:dyDescent="0.25"/>
    <row r="1537" s="13" customFormat="1" ht="18" customHeight="1" x14ac:dyDescent="0.25"/>
    <row r="1538" s="13" customFormat="1" ht="18" customHeight="1" x14ac:dyDescent="0.25"/>
    <row r="1539" s="13" customFormat="1" ht="18" customHeight="1" x14ac:dyDescent="0.25"/>
    <row r="1540" s="13" customFormat="1" ht="18" customHeight="1" x14ac:dyDescent="0.25"/>
    <row r="1541" s="13" customFormat="1" ht="18" customHeight="1" x14ac:dyDescent="0.25"/>
    <row r="1542" s="13" customFormat="1" ht="18" customHeight="1" x14ac:dyDescent="0.25"/>
    <row r="1543" s="13" customFormat="1" ht="18" customHeight="1" x14ac:dyDescent="0.25"/>
    <row r="1544" s="13" customFormat="1" ht="18" customHeight="1" x14ac:dyDescent="0.25"/>
    <row r="1545" s="13" customFormat="1" ht="18" customHeight="1" x14ac:dyDescent="0.25"/>
    <row r="1546" s="13" customFormat="1" ht="18" customHeight="1" x14ac:dyDescent="0.25"/>
    <row r="1547" s="13" customFormat="1" ht="18" customHeight="1" x14ac:dyDescent="0.25"/>
    <row r="1548" s="13" customFormat="1" ht="18" customHeight="1" x14ac:dyDescent="0.25"/>
    <row r="1549" s="13" customFormat="1" ht="18" customHeight="1" x14ac:dyDescent="0.25"/>
    <row r="1550" s="13" customFormat="1" ht="18" customHeight="1" x14ac:dyDescent="0.25"/>
    <row r="1551" s="13" customFormat="1" ht="18" customHeight="1" x14ac:dyDescent="0.25"/>
    <row r="1552" s="13" customFormat="1" ht="18" customHeight="1" x14ac:dyDescent="0.25"/>
    <row r="1553" s="13" customFormat="1" ht="18" customHeight="1" x14ac:dyDescent="0.25"/>
    <row r="1554" s="13" customFormat="1" ht="18" customHeight="1" x14ac:dyDescent="0.25"/>
    <row r="1555" s="13" customFormat="1" ht="18" customHeight="1" x14ac:dyDescent="0.25"/>
    <row r="1556" s="13" customFormat="1" ht="18" customHeight="1" x14ac:dyDescent="0.25"/>
    <row r="1557" s="13" customFormat="1" ht="18" customHeight="1" x14ac:dyDescent="0.25"/>
    <row r="1558" s="13" customFormat="1" ht="18" customHeight="1" x14ac:dyDescent="0.25"/>
    <row r="1559" s="13" customFormat="1" ht="18" customHeight="1" x14ac:dyDescent="0.25"/>
    <row r="1560" s="13" customFormat="1" ht="18" customHeight="1" x14ac:dyDescent="0.25"/>
    <row r="1561" s="13" customFormat="1" ht="18" customHeight="1" x14ac:dyDescent="0.25"/>
    <row r="1562" s="13" customFormat="1" ht="18" customHeight="1" x14ac:dyDescent="0.25"/>
    <row r="1563" s="13" customFormat="1" ht="18" customHeight="1" x14ac:dyDescent="0.25"/>
    <row r="1564" s="13" customFormat="1" ht="18" customHeight="1" x14ac:dyDescent="0.25"/>
    <row r="1565" s="13" customFormat="1" ht="18" customHeight="1" x14ac:dyDescent="0.25"/>
    <row r="1566" s="13" customFormat="1" ht="18" customHeight="1" x14ac:dyDescent="0.25"/>
    <row r="1567" s="13" customFormat="1" ht="18" customHeight="1" x14ac:dyDescent="0.25"/>
    <row r="1568" s="13" customFormat="1" ht="18" customHeight="1" x14ac:dyDescent="0.25"/>
    <row r="1569" s="13" customFormat="1" ht="18" customHeight="1" x14ac:dyDescent="0.25"/>
    <row r="1570" s="13" customFormat="1" ht="18" customHeight="1" x14ac:dyDescent="0.25"/>
    <row r="1571" s="13" customFormat="1" ht="18" customHeight="1" x14ac:dyDescent="0.25"/>
    <row r="1572" s="13" customFormat="1" ht="18" customHeight="1" x14ac:dyDescent="0.25"/>
    <row r="1573" s="13" customFormat="1" ht="18" customHeight="1" x14ac:dyDescent="0.25"/>
    <row r="1574" s="13" customFormat="1" ht="18" customHeight="1" x14ac:dyDescent="0.25"/>
    <row r="1575" s="13" customFormat="1" ht="18" customHeight="1" x14ac:dyDescent="0.25"/>
    <row r="1576" s="13" customFormat="1" ht="18" customHeight="1" x14ac:dyDescent="0.25"/>
    <row r="1577" s="13" customFormat="1" ht="18" customHeight="1" x14ac:dyDescent="0.25"/>
    <row r="1578" s="13" customFormat="1" ht="18" customHeight="1" x14ac:dyDescent="0.25"/>
    <row r="1579" s="13" customFormat="1" ht="18" customHeight="1" x14ac:dyDescent="0.25"/>
    <row r="1580" s="13" customFormat="1" ht="18" customHeight="1" x14ac:dyDescent="0.25"/>
    <row r="1581" s="13" customFormat="1" ht="18" customHeight="1" x14ac:dyDescent="0.25"/>
    <row r="1582" s="13" customFormat="1" ht="18" customHeight="1" x14ac:dyDescent="0.25"/>
    <row r="1583" s="13" customFormat="1" ht="18" customHeight="1" x14ac:dyDescent="0.25"/>
    <row r="1584" s="13" customFormat="1" ht="18" customHeight="1" x14ac:dyDescent="0.25"/>
    <row r="1585" s="13" customFormat="1" ht="18" customHeight="1" x14ac:dyDescent="0.25"/>
    <row r="1586" s="13" customFormat="1" ht="18" customHeight="1" x14ac:dyDescent="0.25"/>
    <row r="1587" s="13" customFormat="1" ht="18" customHeight="1" x14ac:dyDescent="0.25"/>
    <row r="1588" s="13" customFormat="1" ht="18" customHeight="1" x14ac:dyDescent="0.25"/>
    <row r="1589" s="13" customFormat="1" ht="18" customHeight="1" x14ac:dyDescent="0.25"/>
    <row r="1590" s="13" customFormat="1" ht="18" customHeight="1" x14ac:dyDescent="0.25"/>
    <row r="1591" s="13" customFormat="1" ht="18" customHeight="1" x14ac:dyDescent="0.25"/>
    <row r="1592" s="13" customFormat="1" ht="18" customHeight="1" x14ac:dyDescent="0.25"/>
    <row r="1593" s="13" customFormat="1" ht="18" customHeight="1" x14ac:dyDescent="0.25"/>
    <row r="1594" s="13" customFormat="1" ht="18" customHeight="1" x14ac:dyDescent="0.25"/>
    <row r="1595" s="13" customFormat="1" ht="18" customHeight="1" x14ac:dyDescent="0.25"/>
    <row r="1596" s="13" customFormat="1" ht="18" customHeight="1" x14ac:dyDescent="0.25"/>
    <row r="1597" s="13" customFormat="1" ht="18" customHeight="1" x14ac:dyDescent="0.25"/>
    <row r="1598" s="13" customFormat="1" ht="18" customHeight="1" x14ac:dyDescent="0.25"/>
    <row r="1599" s="13" customFormat="1" ht="18" customHeight="1" x14ac:dyDescent="0.25"/>
    <row r="1600" s="13" customFormat="1" ht="18" customHeight="1" x14ac:dyDescent="0.25"/>
    <row r="1601" s="13" customFormat="1" ht="18" customHeight="1" x14ac:dyDescent="0.25"/>
    <row r="1602" s="13" customFormat="1" ht="18" customHeight="1" x14ac:dyDescent="0.25"/>
    <row r="1603" s="13" customFormat="1" ht="18" customHeight="1" x14ac:dyDescent="0.25"/>
    <row r="1604" s="13" customFormat="1" ht="18" customHeight="1" x14ac:dyDescent="0.25"/>
    <row r="1605" s="13" customFormat="1" ht="18" customHeight="1" x14ac:dyDescent="0.25"/>
    <row r="1606" s="13" customFormat="1" ht="18" customHeight="1" x14ac:dyDescent="0.25"/>
    <row r="1607" s="13" customFormat="1" ht="18" customHeight="1" x14ac:dyDescent="0.25"/>
    <row r="1608" s="13" customFormat="1" ht="18" customHeight="1" x14ac:dyDescent="0.25"/>
    <row r="1609" s="13" customFormat="1" ht="18" customHeight="1" x14ac:dyDescent="0.25"/>
    <row r="1610" s="13" customFormat="1" ht="18" customHeight="1" x14ac:dyDescent="0.25"/>
    <row r="1611" s="13" customFormat="1" ht="18" customHeight="1" x14ac:dyDescent="0.25"/>
    <row r="1612" s="13" customFormat="1" ht="18" customHeight="1" x14ac:dyDescent="0.25"/>
    <row r="1613" s="13" customFormat="1" ht="18" customHeight="1" x14ac:dyDescent="0.25"/>
    <row r="1614" s="13" customFormat="1" ht="18" customHeight="1" x14ac:dyDescent="0.25"/>
    <row r="1615" s="13" customFormat="1" ht="18" customHeight="1" x14ac:dyDescent="0.25"/>
    <row r="1616" s="13" customFormat="1" ht="18" customHeight="1" x14ac:dyDescent="0.25"/>
    <row r="1617" s="13" customFormat="1" ht="18" customHeight="1" x14ac:dyDescent="0.25"/>
    <row r="1618" s="13" customFormat="1" ht="18" customHeight="1" x14ac:dyDescent="0.25"/>
    <row r="1619" s="13" customFormat="1" ht="18" customHeight="1" x14ac:dyDescent="0.25"/>
    <row r="1620" s="13" customFormat="1" ht="18" customHeight="1" x14ac:dyDescent="0.25"/>
    <row r="1621" s="13" customFormat="1" ht="18" customHeight="1" x14ac:dyDescent="0.25"/>
    <row r="1622" s="13" customFormat="1" ht="18" customHeight="1" x14ac:dyDescent="0.25"/>
    <row r="1623" s="13" customFormat="1" ht="18" customHeight="1" x14ac:dyDescent="0.25"/>
    <row r="1624" s="13" customFormat="1" ht="18" customHeight="1" x14ac:dyDescent="0.25"/>
    <row r="1625" s="13" customFormat="1" ht="18" customHeight="1" x14ac:dyDescent="0.25"/>
    <row r="1626" s="13" customFormat="1" ht="18" customHeight="1" x14ac:dyDescent="0.25"/>
    <row r="1627" s="13" customFormat="1" ht="18" customHeight="1" x14ac:dyDescent="0.25"/>
    <row r="1628" s="13" customFormat="1" ht="18" customHeight="1" x14ac:dyDescent="0.25"/>
    <row r="1629" s="13" customFormat="1" ht="18" customHeight="1" x14ac:dyDescent="0.25"/>
    <row r="1630" s="13" customFormat="1" ht="18" customHeight="1" x14ac:dyDescent="0.25"/>
    <row r="1631" s="13" customFormat="1" ht="18" customHeight="1" x14ac:dyDescent="0.25"/>
    <row r="1632" s="13" customFormat="1" ht="18" customHeight="1" x14ac:dyDescent="0.25"/>
    <row r="1633" s="13" customFormat="1" ht="18" customHeight="1" x14ac:dyDescent="0.25"/>
    <row r="1634" s="13" customFormat="1" ht="18" customHeight="1" x14ac:dyDescent="0.25"/>
    <row r="1635" s="13" customFormat="1" ht="18" customHeight="1" x14ac:dyDescent="0.25"/>
    <row r="1636" s="13" customFormat="1" ht="18" customHeight="1" x14ac:dyDescent="0.25"/>
    <row r="1637" s="13" customFormat="1" ht="18" customHeight="1" x14ac:dyDescent="0.25"/>
    <row r="1638" s="13" customFormat="1" ht="18" customHeight="1" x14ac:dyDescent="0.25"/>
    <row r="1639" s="13" customFormat="1" ht="18" customHeight="1" x14ac:dyDescent="0.25"/>
    <row r="1640" s="13" customFormat="1" ht="18" customHeight="1" x14ac:dyDescent="0.25"/>
    <row r="1641" s="13" customFormat="1" ht="18" customHeight="1" x14ac:dyDescent="0.25"/>
    <row r="1642" s="13" customFormat="1" ht="18" customHeight="1" x14ac:dyDescent="0.25"/>
    <row r="1643" s="13" customFormat="1" ht="18" customHeight="1" x14ac:dyDescent="0.25"/>
    <row r="1644" s="13" customFormat="1" ht="18" customHeight="1" x14ac:dyDescent="0.25"/>
    <row r="1645" s="13" customFormat="1" ht="18" customHeight="1" x14ac:dyDescent="0.25"/>
    <row r="1646" s="13" customFormat="1" ht="18" customHeight="1" x14ac:dyDescent="0.25"/>
    <row r="1647" s="13" customFormat="1" ht="18" customHeight="1" x14ac:dyDescent="0.25"/>
    <row r="1648" s="13" customFormat="1" ht="18" customHeight="1" x14ac:dyDescent="0.25"/>
    <row r="1649" s="13" customFormat="1" ht="18" customHeight="1" x14ac:dyDescent="0.25"/>
    <row r="1650" s="13" customFormat="1" ht="18" customHeight="1" x14ac:dyDescent="0.25"/>
    <row r="1651" s="13" customFormat="1" ht="18" customHeight="1" x14ac:dyDescent="0.25"/>
    <row r="1652" s="13" customFormat="1" ht="18" customHeight="1" x14ac:dyDescent="0.25"/>
    <row r="1653" s="13" customFormat="1" ht="18" customHeight="1" x14ac:dyDescent="0.25"/>
    <row r="1654" s="13" customFormat="1" ht="18" customHeight="1" x14ac:dyDescent="0.25"/>
    <row r="1655" s="13" customFormat="1" ht="18" customHeight="1" x14ac:dyDescent="0.25"/>
    <row r="1656" s="13" customFormat="1" ht="18" customHeight="1" x14ac:dyDescent="0.25"/>
    <row r="1657" s="13" customFormat="1" ht="18" customHeight="1" x14ac:dyDescent="0.25"/>
    <row r="1658" s="13" customFormat="1" ht="18" customHeight="1" x14ac:dyDescent="0.25"/>
    <row r="1659" s="13" customFormat="1" ht="18" customHeight="1" x14ac:dyDescent="0.25"/>
    <row r="1660" s="13" customFormat="1" ht="18" customHeight="1" x14ac:dyDescent="0.25"/>
    <row r="1661" s="13" customFormat="1" ht="18" customHeight="1" x14ac:dyDescent="0.25"/>
    <row r="1662" s="13" customFormat="1" ht="18" customHeight="1" x14ac:dyDescent="0.25"/>
    <row r="1663" s="13" customFormat="1" ht="18" customHeight="1" x14ac:dyDescent="0.25"/>
    <row r="1664" s="13" customFormat="1" ht="18" customHeight="1" x14ac:dyDescent="0.25"/>
    <row r="1665" s="13" customFormat="1" ht="18" customHeight="1" x14ac:dyDescent="0.25"/>
    <row r="1666" s="13" customFormat="1" ht="18" customHeight="1" x14ac:dyDescent="0.25"/>
    <row r="1667" s="13" customFormat="1" ht="18" customHeight="1" x14ac:dyDescent="0.25"/>
    <row r="1668" s="13" customFormat="1" ht="18" customHeight="1" x14ac:dyDescent="0.25"/>
    <row r="1669" s="13" customFormat="1" ht="18" customHeight="1" x14ac:dyDescent="0.25"/>
    <row r="1670" s="13" customFormat="1" ht="18" customHeight="1" x14ac:dyDescent="0.25"/>
    <row r="1671" s="13" customFormat="1" ht="18" customHeight="1" x14ac:dyDescent="0.25"/>
    <row r="1672" s="13" customFormat="1" ht="18" customHeight="1" x14ac:dyDescent="0.25"/>
    <row r="1673" s="13" customFormat="1" ht="18" customHeight="1" x14ac:dyDescent="0.25"/>
    <row r="1674" s="13" customFormat="1" ht="18" customHeight="1" x14ac:dyDescent="0.25"/>
    <row r="1675" s="13" customFormat="1" ht="18" customHeight="1" x14ac:dyDescent="0.25"/>
    <row r="1676" s="13" customFormat="1" ht="18" customHeight="1" x14ac:dyDescent="0.25"/>
    <row r="1677" s="13" customFormat="1" ht="18" customHeight="1" x14ac:dyDescent="0.25"/>
    <row r="1678" s="13" customFormat="1" ht="18" customHeight="1" x14ac:dyDescent="0.25"/>
    <row r="1679" s="13" customFormat="1" ht="18" customHeight="1" x14ac:dyDescent="0.25"/>
    <row r="1680" s="13" customFormat="1" ht="18" customHeight="1" x14ac:dyDescent="0.25"/>
    <row r="1681" s="13" customFormat="1" ht="18" customHeight="1" x14ac:dyDescent="0.25"/>
    <row r="1682" s="13" customFormat="1" ht="18" customHeight="1" x14ac:dyDescent="0.25"/>
    <row r="1683" s="13" customFormat="1" ht="18" customHeight="1" x14ac:dyDescent="0.25"/>
    <row r="1684" s="13" customFormat="1" ht="18" customHeight="1" x14ac:dyDescent="0.25"/>
    <row r="1685" s="13" customFormat="1" ht="18" customHeight="1" x14ac:dyDescent="0.25"/>
    <row r="1686" s="13" customFormat="1" ht="18" customHeight="1" x14ac:dyDescent="0.25"/>
    <row r="1687" s="13" customFormat="1" ht="18" customHeight="1" x14ac:dyDescent="0.25"/>
    <row r="1688" s="13" customFormat="1" ht="18" customHeight="1" x14ac:dyDescent="0.25"/>
    <row r="1689" s="13" customFormat="1" ht="18" customHeight="1" x14ac:dyDescent="0.25"/>
    <row r="1690" s="13" customFormat="1" ht="18" customHeight="1" x14ac:dyDescent="0.25"/>
    <row r="1691" s="13" customFormat="1" ht="18" customHeight="1" x14ac:dyDescent="0.25"/>
    <row r="1692" s="13" customFormat="1" ht="18" customHeight="1" x14ac:dyDescent="0.25"/>
    <row r="1693" s="13" customFormat="1" ht="18" customHeight="1" x14ac:dyDescent="0.25"/>
    <row r="1694" s="13" customFormat="1" ht="18" customHeight="1" x14ac:dyDescent="0.25"/>
    <row r="1695" s="13" customFormat="1" ht="18" customHeight="1" x14ac:dyDescent="0.25"/>
    <row r="1696" s="13" customFormat="1" ht="18" customHeight="1" x14ac:dyDescent="0.25"/>
    <row r="1697" s="13" customFormat="1" ht="18" customHeight="1" x14ac:dyDescent="0.25"/>
    <row r="1698" s="13" customFormat="1" ht="18" customHeight="1" x14ac:dyDescent="0.25"/>
    <row r="1699" s="13" customFormat="1" ht="18" customHeight="1" x14ac:dyDescent="0.25"/>
    <row r="1700" s="13" customFormat="1" ht="18" customHeight="1" x14ac:dyDescent="0.25"/>
    <row r="1701" s="13" customFormat="1" ht="18" customHeight="1" x14ac:dyDescent="0.25"/>
    <row r="1702" s="13" customFormat="1" ht="18" customHeight="1" x14ac:dyDescent="0.25"/>
    <row r="1703" s="13" customFormat="1" ht="18" customHeight="1" x14ac:dyDescent="0.25"/>
    <row r="1704" s="13" customFormat="1" ht="18" customHeight="1" x14ac:dyDescent="0.25"/>
    <row r="1705" s="13" customFormat="1" ht="18" customHeight="1" x14ac:dyDescent="0.25"/>
    <row r="1706" s="13" customFormat="1" ht="18" customHeight="1" x14ac:dyDescent="0.25"/>
    <row r="1707" s="13" customFormat="1" ht="18" customHeight="1" x14ac:dyDescent="0.25"/>
    <row r="1708" s="13" customFormat="1" ht="18" customHeight="1" x14ac:dyDescent="0.25"/>
    <row r="1709" s="13" customFormat="1" ht="18" customHeight="1" x14ac:dyDescent="0.25"/>
    <row r="1710" s="13" customFormat="1" ht="18" customHeight="1" x14ac:dyDescent="0.25"/>
    <row r="1711" s="13" customFormat="1" ht="18" customHeight="1" x14ac:dyDescent="0.25"/>
    <row r="1712" s="13" customFormat="1" ht="18" customHeight="1" x14ac:dyDescent="0.25"/>
    <row r="1713" s="13" customFormat="1" ht="18" customHeight="1" x14ac:dyDescent="0.25"/>
    <row r="1714" s="13" customFormat="1" ht="18" customHeight="1" x14ac:dyDescent="0.25"/>
    <row r="1715" s="13" customFormat="1" ht="18" customHeight="1" x14ac:dyDescent="0.25"/>
    <row r="1716" s="13" customFormat="1" ht="18" customHeight="1" x14ac:dyDescent="0.25"/>
    <row r="1717" s="13" customFormat="1" ht="18" customHeight="1" x14ac:dyDescent="0.25"/>
    <row r="1718" s="13" customFormat="1" ht="18" customHeight="1" x14ac:dyDescent="0.25"/>
    <row r="1719" s="13" customFormat="1" ht="18" customHeight="1" x14ac:dyDescent="0.25"/>
    <row r="1720" s="13" customFormat="1" ht="18" customHeight="1" x14ac:dyDescent="0.25"/>
    <row r="1721" s="13" customFormat="1" ht="18" customHeight="1" x14ac:dyDescent="0.25"/>
    <row r="1722" s="13" customFormat="1" ht="18" customHeight="1" x14ac:dyDescent="0.25"/>
    <row r="1723" s="13" customFormat="1" ht="18" customHeight="1" x14ac:dyDescent="0.25"/>
    <row r="1724" s="13" customFormat="1" ht="18" customHeight="1" x14ac:dyDescent="0.25"/>
    <row r="1725" s="13" customFormat="1" ht="18" customHeight="1" x14ac:dyDescent="0.25"/>
    <row r="1726" s="13" customFormat="1" ht="18" customHeight="1" x14ac:dyDescent="0.25"/>
    <row r="1727" s="13" customFormat="1" ht="18" customHeight="1" x14ac:dyDescent="0.25"/>
    <row r="1728" s="13" customFormat="1" ht="18" customHeight="1" x14ac:dyDescent="0.25"/>
    <row r="1729" s="13" customFormat="1" ht="18" customHeight="1" x14ac:dyDescent="0.25"/>
    <row r="1730" s="13" customFormat="1" ht="18" customHeight="1" x14ac:dyDescent="0.25"/>
    <row r="1731" s="13" customFormat="1" ht="18" customHeight="1" x14ac:dyDescent="0.25"/>
    <row r="1732" s="13" customFormat="1" ht="18" customHeight="1" x14ac:dyDescent="0.25"/>
    <row r="1733" s="13" customFormat="1" ht="18" customHeight="1" x14ac:dyDescent="0.25"/>
    <row r="1734" s="13" customFormat="1" ht="18" customHeight="1" x14ac:dyDescent="0.25"/>
    <row r="1735" s="13" customFormat="1" ht="18" customHeight="1" x14ac:dyDescent="0.25"/>
    <row r="1736" s="13" customFormat="1" ht="18" customHeight="1" x14ac:dyDescent="0.25"/>
    <row r="1737" s="13" customFormat="1" ht="18" customHeight="1" x14ac:dyDescent="0.25"/>
    <row r="1738" s="13" customFormat="1" ht="18" customHeight="1" x14ac:dyDescent="0.25"/>
    <row r="1739" s="13" customFormat="1" ht="18" customHeight="1" x14ac:dyDescent="0.25"/>
    <row r="1740" s="13" customFormat="1" ht="18" customHeight="1" x14ac:dyDescent="0.25"/>
    <row r="1741" s="13" customFormat="1" ht="18" customHeight="1" x14ac:dyDescent="0.25"/>
    <row r="1742" s="13" customFormat="1" ht="18" customHeight="1" x14ac:dyDescent="0.25"/>
    <row r="1743" s="13" customFormat="1" ht="18" customHeight="1" x14ac:dyDescent="0.25"/>
    <row r="1744" s="13" customFormat="1" ht="18" customHeight="1" x14ac:dyDescent="0.25"/>
    <row r="1745" s="13" customFormat="1" ht="18" customHeight="1" x14ac:dyDescent="0.25"/>
    <row r="1746" s="13" customFormat="1" ht="18" customHeight="1" x14ac:dyDescent="0.25"/>
    <row r="1747" s="13" customFormat="1" ht="18" customHeight="1" x14ac:dyDescent="0.25"/>
    <row r="1748" s="13" customFormat="1" ht="18" customHeight="1" x14ac:dyDescent="0.25"/>
    <row r="1749" s="13" customFormat="1" ht="18" customHeight="1" x14ac:dyDescent="0.25"/>
    <row r="1750" s="13" customFormat="1" ht="18" customHeight="1" x14ac:dyDescent="0.25"/>
    <row r="1751" s="13" customFormat="1" ht="18" customHeight="1" x14ac:dyDescent="0.25"/>
    <row r="1752" s="13" customFormat="1" ht="18" customHeight="1" x14ac:dyDescent="0.25"/>
    <row r="1753" s="13" customFormat="1" ht="18" customHeight="1" x14ac:dyDescent="0.25"/>
    <row r="1754" s="13" customFormat="1" ht="18" customHeight="1" x14ac:dyDescent="0.25"/>
    <row r="1755" s="13" customFormat="1" ht="18" customHeight="1" x14ac:dyDescent="0.25"/>
    <row r="1756" s="13" customFormat="1" ht="18" customHeight="1" x14ac:dyDescent="0.25"/>
    <row r="1757" s="13" customFormat="1" ht="18" customHeight="1" x14ac:dyDescent="0.25"/>
    <row r="1758" s="13" customFormat="1" ht="18" customHeight="1" x14ac:dyDescent="0.25"/>
    <row r="1759" s="13" customFormat="1" ht="18" customHeight="1" x14ac:dyDescent="0.25"/>
    <row r="1760" s="13" customFormat="1" ht="18" customHeight="1" x14ac:dyDescent="0.25"/>
    <row r="1761" s="13" customFormat="1" ht="18" customHeight="1" x14ac:dyDescent="0.25"/>
    <row r="1762" s="13" customFormat="1" ht="18" customHeight="1" x14ac:dyDescent="0.25"/>
    <row r="1763" s="13" customFormat="1" ht="18" customHeight="1" x14ac:dyDescent="0.25"/>
    <row r="1764" s="13" customFormat="1" ht="18" customHeight="1" x14ac:dyDescent="0.25"/>
    <row r="1765" s="13" customFormat="1" ht="18" customHeight="1" x14ac:dyDescent="0.25"/>
    <row r="1766" s="13" customFormat="1" ht="18" customHeight="1" x14ac:dyDescent="0.25"/>
    <row r="1767" s="13" customFormat="1" ht="18" customHeight="1" x14ac:dyDescent="0.25"/>
    <row r="1768" s="13" customFormat="1" ht="18" customHeight="1" x14ac:dyDescent="0.25"/>
    <row r="1769" s="13" customFormat="1" ht="18" customHeight="1" x14ac:dyDescent="0.25"/>
    <row r="1770" s="13" customFormat="1" ht="18" customHeight="1" x14ac:dyDescent="0.25"/>
    <row r="1771" s="13" customFormat="1" ht="18" customHeight="1" x14ac:dyDescent="0.25"/>
    <row r="1772" s="13" customFormat="1" ht="18" customHeight="1" x14ac:dyDescent="0.25"/>
    <row r="1773" s="13" customFormat="1" ht="18" customHeight="1" x14ac:dyDescent="0.25"/>
    <row r="1774" s="13" customFormat="1" ht="18" customHeight="1" x14ac:dyDescent="0.25"/>
    <row r="1775" s="13" customFormat="1" ht="18" customHeight="1" x14ac:dyDescent="0.25"/>
    <row r="1776" s="13" customFormat="1" ht="18" customHeight="1" x14ac:dyDescent="0.25"/>
    <row r="1777" s="13" customFormat="1" ht="18" customHeight="1" x14ac:dyDescent="0.25"/>
    <row r="1778" s="13" customFormat="1" ht="18" customHeight="1" x14ac:dyDescent="0.25"/>
    <row r="1779" s="13" customFormat="1" ht="18" customHeight="1" x14ac:dyDescent="0.25"/>
    <row r="1780" s="13" customFormat="1" ht="18" customHeight="1" x14ac:dyDescent="0.25"/>
    <row r="1781" s="13" customFormat="1" ht="18" customHeight="1" x14ac:dyDescent="0.25"/>
    <row r="1782" s="13" customFormat="1" ht="18" customHeight="1" x14ac:dyDescent="0.25"/>
    <row r="1783" s="13" customFormat="1" ht="18" customHeight="1" x14ac:dyDescent="0.25"/>
    <row r="1784" s="13" customFormat="1" ht="18" customHeight="1" x14ac:dyDescent="0.25"/>
    <row r="1785" s="13" customFormat="1" ht="18" customHeight="1" x14ac:dyDescent="0.25"/>
    <row r="1786" s="13" customFormat="1" ht="18" customHeight="1" x14ac:dyDescent="0.25"/>
    <row r="1787" s="13" customFormat="1" ht="18" customHeight="1" x14ac:dyDescent="0.25"/>
    <row r="1788" s="13" customFormat="1" ht="18" customHeight="1" x14ac:dyDescent="0.25"/>
    <row r="1789" s="13" customFormat="1" ht="18" customHeight="1" x14ac:dyDescent="0.25"/>
    <row r="1790" s="13" customFormat="1" ht="18" customHeight="1" x14ac:dyDescent="0.25"/>
    <row r="1791" s="13" customFormat="1" ht="18" customHeight="1" x14ac:dyDescent="0.25"/>
    <row r="1792" s="13" customFormat="1" ht="18" customHeight="1" x14ac:dyDescent="0.25"/>
    <row r="1793" s="13" customFormat="1" ht="18" customHeight="1" x14ac:dyDescent="0.25"/>
    <row r="1794" s="13" customFormat="1" ht="18" customHeight="1" x14ac:dyDescent="0.25"/>
    <row r="1795" s="13" customFormat="1" ht="18" customHeight="1" x14ac:dyDescent="0.25"/>
    <row r="1796" s="13" customFormat="1" ht="18" customHeight="1" x14ac:dyDescent="0.25"/>
    <row r="1797" s="13" customFormat="1" ht="18" customHeight="1" x14ac:dyDescent="0.25"/>
    <row r="1798" s="13" customFormat="1" ht="18" customHeight="1" x14ac:dyDescent="0.25"/>
    <row r="1799" s="13" customFormat="1" ht="18" customHeight="1" x14ac:dyDescent="0.25"/>
    <row r="1800" s="13" customFormat="1" ht="18" customHeight="1" x14ac:dyDescent="0.25"/>
    <row r="1801" s="13" customFormat="1" ht="18" customHeight="1" x14ac:dyDescent="0.25"/>
    <row r="1802" s="13" customFormat="1" ht="18" customHeight="1" x14ac:dyDescent="0.25"/>
    <row r="1803" s="13" customFormat="1" ht="18" customHeight="1" x14ac:dyDescent="0.25"/>
    <row r="1804" s="13" customFormat="1" ht="18" customHeight="1" x14ac:dyDescent="0.25"/>
    <row r="1805" s="13" customFormat="1" ht="18" customHeight="1" x14ac:dyDescent="0.25"/>
    <row r="1806" s="13" customFormat="1" ht="18" customHeight="1" x14ac:dyDescent="0.25"/>
    <row r="1807" s="13" customFormat="1" ht="18" customHeight="1" x14ac:dyDescent="0.25"/>
    <row r="1808" s="13" customFormat="1" ht="18" customHeight="1" x14ac:dyDescent="0.25"/>
    <row r="1809" s="13" customFormat="1" ht="18" customHeight="1" x14ac:dyDescent="0.25"/>
    <row r="1810" s="13" customFormat="1" ht="18" customHeight="1" x14ac:dyDescent="0.25"/>
    <row r="1811" s="13" customFormat="1" ht="18" customHeight="1" x14ac:dyDescent="0.25"/>
    <row r="1812" s="13" customFormat="1" ht="18" customHeight="1" x14ac:dyDescent="0.25"/>
    <row r="1813" s="13" customFormat="1" ht="18" customHeight="1" x14ac:dyDescent="0.25"/>
    <row r="1814" s="13" customFormat="1" ht="18" customHeight="1" x14ac:dyDescent="0.25"/>
    <row r="1815" s="13" customFormat="1" ht="18" customHeight="1" x14ac:dyDescent="0.25"/>
    <row r="1816" s="13" customFormat="1" ht="18" customHeight="1" x14ac:dyDescent="0.25"/>
    <row r="1817" s="13" customFormat="1" ht="18" customHeight="1" x14ac:dyDescent="0.25"/>
    <row r="1818" s="13" customFormat="1" ht="18" customHeight="1" x14ac:dyDescent="0.25"/>
    <row r="1819" s="13" customFormat="1" ht="18" customHeight="1" x14ac:dyDescent="0.25"/>
    <row r="1820" s="13" customFormat="1" ht="18" customHeight="1" x14ac:dyDescent="0.25"/>
    <row r="1821" s="13" customFormat="1" ht="18" customHeight="1" x14ac:dyDescent="0.25"/>
    <row r="1822" s="13" customFormat="1" ht="18" customHeight="1" x14ac:dyDescent="0.25"/>
    <row r="1823" s="13" customFormat="1" ht="18" customHeight="1" x14ac:dyDescent="0.25"/>
    <row r="1824" s="13" customFormat="1" ht="18" customHeight="1" x14ac:dyDescent="0.25"/>
    <row r="1825" s="13" customFormat="1" ht="18" customHeight="1" x14ac:dyDescent="0.25"/>
    <row r="1826" s="13" customFormat="1" ht="18" customHeight="1" x14ac:dyDescent="0.25"/>
    <row r="1827" s="13" customFormat="1" ht="18" customHeight="1" x14ac:dyDescent="0.25"/>
    <row r="1828" s="13" customFormat="1" ht="18" customHeight="1" x14ac:dyDescent="0.25"/>
    <row r="1829" s="13" customFormat="1" ht="18" customHeight="1" x14ac:dyDescent="0.25"/>
    <row r="1830" s="13" customFormat="1" ht="18" customHeight="1" x14ac:dyDescent="0.25"/>
    <row r="1831" s="13" customFormat="1" ht="18" customHeight="1" x14ac:dyDescent="0.25"/>
    <row r="1832" s="13" customFormat="1" ht="18" customHeight="1" x14ac:dyDescent="0.25"/>
    <row r="1833" s="13" customFormat="1" ht="18" customHeight="1" x14ac:dyDescent="0.25"/>
    <row r="1834" s="13" customFormat="1" ht="18" customHeight="1" x14ac:dyDescent="0.25"/>
    <row r="1835" s="13" customFormat="1" ht="18" customHeight="1" x14ac:dyDescent="0.25"/>
    <row r="1836" s="13" customFormat="1" ht="18" customHeight="1" x14ac:dyDescent="0.25"/>
    <row r="1837" s="13" customFormat="1" ht="18" customHeight="1" x14ac:dyDescent="0.25"/>
    <row r="1838" s="13" customFormat="1" ht="18" customHeight="1" x14ac:dyDescent="0.25"/>
    <row r="1839" s="13" customFormat="1" ht="18" customHeight="1" x14ac:dyDescent="0.25"/>
    <row r="1840" s="13" customFormat="1" ht="18" customHeight="1" x14ac:dyDescent="0.25"/>
    <row r="1841" s="13" customFormat="1" ht="18" customHeight="1" x14ac:dyDescent="0.25"/>
    <row r="1842" s="13" customFormat="1" ht="18" customHeight="1" x14ac:dyDescent="0.25"/>
    <row r="1843" s="13" customFormat="1" ht="18" customHeight="1" x14ac:dyDescent="0.25"/>
    <row r="1844" s="13" customFormat="1" ht="18" customHeight="1" x14ac:dyDescent="0.25"/>
    <row r="1845" s="13" customFormat="1" ht="18" customHeight="1" x14ac:dyDescent="0.25"/>
    <row r="1846" s="13" customFormat="1" ht="18" customHeight="1" x14ac:dyDescent="0.25"/>
    <row r="1847" s="13" customFormat="1" ht="18" customHeight="1" x14ac:dyDescent="0.25"/>
    <row r="1848" s="13" customFormat="1" ht="18" customHeight="1" x14ac:dyDescent="0.25"/>
    <row r="1849" s="13" customFormat="1" ht="18" customHeight="1" x14ac:dyDescent="0.25"/>
    <row r="1850" s="13" customFormat="1" ht="18" customHeight="1" x14ac:dyDescent="0.25"/>
    <row r="1851" s="13" customFormat="1" ht="18" customHeight="1" x14ac:dyDescent="0.25"/>
    <row r="1852" s="13" customFormat="1" ht="18" customHeight="1" x14ac:dyDescent="0.25"/>
    <row r="1853" s="13" customFormat="1" ht="18" customHeight="1" x14ac:dyDescent="0.25"/>
    <row r="1854" s="13" customFormat="1" ht="18" customHeight="1" x14ac:dyDescent="0.25"/>
    <row r="1855" s="13" customFormat="1" ht="18" customHeight="1" x14ac:dyDescent="0.25"/>
    <row r="1856" s="13" customFormat="1" ht="18" customHeight="1" x14ac:dyDescent="0.25"/>
    <row r="1857" s="13" customFormat="1" ht="18" customHeight="1" x14ac:dyDescent="0.25"/>
    <row r="1858" s="13" customFormat="1" ht="18" customHeight="1" x14ac:dyDescent="0.25"/>
    <row r="1859" s="13" customFormat="1" ht="18" customHeight="1" x14ac:dyDescent="0.25"/>
    <row r="1860" s="13" customFormat="1" ht="18" customHeight="1" x14ac:dyDescent="0.25"/>
    <row r="1861" s="13" customFormat="1" ht="18" customHeight="1" x14ac:dyDescent="0.25"/>
    <row r="1862" s="13" customFormat="1" ht="18" customHeight="1" x14ac:dyDescent="0.25"/>
    <row r="1863" s="13" customFormat="1" ht="18" customHeight="1" x14ac:dyDescent="0.25"/>
    <row r="1864" s="13" customFormat="1" ht="18" customHeight="1" x14ac:dyDescent="0.25"/>
    <row r="1865" s="13" customFormat="1" ht="18" customHeight="1" x14ac:dyDescent="0.25"/>
    <row r="1866" s="13" customFormat="1" ht="18" customHeight="1" x14ac:dyDescent="0.25"/>
    <row r="1867" s="13" customFormat="1" ht="18" customHeight="1" x14ac:dyDescent="0.25"/>
    <row r="1868" s="13" customFormat="1" ht="18" customHeight="1" x14ac:dyDescent="0.25"/>
    <row r="1869" s="13" customFormat="1" ht="18" customHeight="1" x14ac:dyDescent="0.25"/>
    <row r="1870" s="13" customFormat="1" ht="18" customHeight="1" x14ac:dyDescent="0.25"/>
    <row r="1871" s="13" customFormat="1" ht="18" customHeight="1" x14ac:dyDescent="0.25"/>
    <row r="1872" s="13" customFormat="1" ht="18" customHeight="1" x14ac:dyDescent="0.25"/>
    <row r="1873" s="13" customFormat="1" ht="18" customHeight="1" x14ac:dyDescent="0.25"/>
    <row r="1874" s="13" customFormat="1" ht="18" customHeight="1" x14ac:dyDescent="0.25"/>
    <row r="1875" s="13" customFormat="1" ht="18" customHeight="1" x14ac:dyDescent="0.25"/>
    <row r="1876" s="13" customFormat="1" ht="18" customHeight="1" x14ac:dyDescent="0.25"/>
    <row r="1877" s="13" customFormat="1" ht="18" customHeight="1" x14ac:dyDescent="0.25"/>
    <row r="1878" s="13" customFormat="1" ht="18" customHeight="1" x14ac:dyDescent="0.25"/>
    <row r="1879" s="13" customFormat="1" ht="18" customHeight="1" x14ac:dyDescent="0.25"/>
    <row r="1880" s="13" customFormat="1" ht="18" customHeight="1" x14ac:dyDescent="0.25"/>
    <row r="1881" s="13" customFormat="1" ht="18" customHeight="1" x14ac:dyDescent="0.25"/>
    <row r="1882" s="13" customFormat="1" ht="18" customHeight="1" x14ac:dyDescent="0.25"/>
    <row r="1883" s="13" customFormat="1" ht="18" customHeight="1" x14ac:dyDescent="0.25"/>
    <row r="1884" s="13" customFormat="1" ht="18" customHeight="1" x14ac:dyDescent="0.25"/>
    <row r="1885" s="13" customFormat="1" ht="18" customHeight="1" x14ac:dyDescent="0.25"/>
    <row r="1886" s="13" customFormat="1" ht="18" customHeight="1" x14ac:dyDescent="0.25"/>
    <row r="1887" s="13" customFormat="1" ht="18" customHeight="1" x14ac:dyDescent="0.25"/>
    <row r="1888" s="13" customFormat="1" ht="18" customHeight="1" x14ac:dyDescent="0.25"/>
    <row r="1889" s="13" customFormat="1" ht="18" customHeight="1" x14ac:dyDescent="0.25"/>
    <row r="1890" s="13" customFormat="1" ht="18" customHeight="1" x14ac:dyDescent="0.25"/>
    <row r="1891" s="13" customFormat="1" ht="18" customHeight="1" x14ac:dyDescent="0.25"/>
    <row r="1892" s="13" customFormat="1" ht="18" customHeight="1" x14ac:dyDescent="0.25"/>
    <row r="1893" s="13" customFormat="1" ht="18" customHeight="1" x14ac:dyDescent="0.25"/>
    <row r="1894" s="13" customFormat="1" ht="18" customHeight="1" x14ac:dyDescent="0.25"/>
    <row r="1895" s="13" customFormat="1" ht="18" customHeight="1" x14ac:dyDescent="0.25"/>
    <row r="1896" s="13" customFormat="1" ht="18" customHeight="1" x14ac:dyDescent="0.25"/>
    <row r="1897" s="13" customFormat="1" ht="18" customHeight="1" x14ac:dyDescent="0.25"/>
    <row r="1898" s="13" customFormat="1" ht="18" customHeight="1" x14ac:dyDescent="0.25"/>
    <row r="1899" s="13" customFormat="1" ht="18" customHeight="1" x14ac:dyDescent="0.25"/>
    <row r="1900" s="13" customFormat="1" ht="18" customHeight="1" x14ac:dyDescent="0.25"/>
    <row r="1901" s="13" customFormat="1" ht="18" customHeight="1" x14ac:dyDescent="0.25"/>
    <row r="1902" s="13" customFormat="1" ht="18" customHeight="1" x14ac:dyDescent="0.25"/>
    <row r="1903" s="13" customFormat="1" ht="18" customHeight="1" x14ac:dyDescent="0.25"/>
    <row r="1904" s="13" customFormat="1" ht="18" customHeight="1" x14ac:dyDescent="0.25"/>
    <row r="1905" s="13" customFormat="1" ht="18" customHeight="1" x14ac:dyDescent="0.25"/>
    <row r="1906" s="13" customFormat="1" ht="18" customHeight="1" x14ac:dyDescent="0.25"/>
    <row r="1907" s="13" customFormat="1" ht="18" customHeight="1" x14ac:dyDescent="0.25"/>
    <row r="1908" s="13" customFormat="1" ht="18" customHeight="1" x14ac:dyDescent="0.25"/>
    <row r="1909" s="13" customFormat="1" ht="18" customHeight="1" x14ac:dyDescent="0.25"/>
    <row r="1910" s="13" customFormat="1" ht="18" customHeight="1" x14ac:dyDescent="0.25"/>
    <row r="1911" s="13" customFormat="1" ht="18" customHeight="1" x14ac:dyDescent="0.25"/>
    <row r="1912" s="13" customFormat="1" ht="18" customHeight="1" x14ac:dyDescent="0.25"/>
    <row r="1913" s="13" customFormat="1" ht="18" customHeight="1" x14ac:dyDescent="0.25"/>
    <row r="1914" s="13" customFormat="1" ht="18" customHeight="1" x14ac:dyDescent="0.25"/>
    <row r="1915" s="13" customFormat="1" ht="18" customHeight="1" x14ac:dyDescent="0.25"/>
    <row r="1916" s="13" customFormat="1" ht="18" customHeight="1" x14ac:dyDescent="0.25"/>
    <row r="1917" s="13" customFormat="1" ht="18" customHeight="1" x14ac:dyDescent="0.25"/>
    <row r="1918" s="13" customFormat="1" ht="18" customHeight="1" x14ac:dyDescent="0.25"/>
    <row r="1919" s="13" customFormat="1" ht="18" customHeight="1" x14ac:dyDescent="0.25"/>
    <row r="1920" s="13" customFormat="1" ht="18" customHeight="1" x14ac:dyDescent="0.25"/>
    <row r="1921" s="13" customFormat="1" ht="18" customHeight="1" x14ac:dyDescent="0.25"/>
    <row r="1922" s="13" customFormat="1" ht="18" customHeight="1" x14ac:dyDescent="0.25"/>
    <row r="1923" s="13" customFormat="1" ht="18" customHeight="1" x14ac:dyDescent="0.25"/>
    <row r="1924" s="13" customFormat="1" ht="18" customHeight="1" x14ac:dyDescent="0.25"/>
    <row r="1925" s="13" customFormat="1" ht="18" customHeight="1" x14ac:dyDescent="0.25"/>
    <row r="1926" s="13" customFormat="1" ht="18" customHeight="1" x14ac:dyDescent="0.25"/>
    <row r="1927" s="13" customFormat="1" ht="18" customHeight="1" x14ac:dyDescent="0.25"/>
    <row r="1928" s="13" customFormat="1" ht="18" customHeight="1" x14ac:dyDescent="0.25"/>
    <row r="1929" s="13" customFormat="1" ht="18" customHeight="1" x14ac:dyDescent="0.25"/>
    <row r="1930" s="13" customFormat="1" ht="18" customHeight="1" x14ac:dyDescent="0.25"/>
    <row r="1931" s="13" customFormat="1" ht="18" customHeight="1" x14ac:dyDescent="0.25"/>
    <row r="1932" s="13" customFormat="1" ht="18" customHeight="1" x14ac:dyDescent="0.25"/>
    <row r="1933" s="13" customFormat="1" ht="18" customHeight="1" x14ac:dyDescent="0.25"/>
    <row r="1934" s="13" customFormat="1" ht="18" customHeight="1" x14ac:dyDescent="0.25"/>
    <row r="1935" s="13" customFormat="1" ht="18" customHeight="1" x14ac:dyDescent="0.25"/>
    <row r="1936" s="13" customFormat="1" ht="18" customHeight="1" x14ac:dyDescent="0.25"/>
    <row r="1937" s="13" customFormat="1" ht="18" customHeight="1" x14ac:dyDescent="0.25"/>
    <row r="1938" s="13" customFormat="1" ht="18" customHeight="1" x14ac:dyDescent="0.25"/>
    <row r="1939" s="13" customFormat="1" ht="18" customHeight="1" x14ac:dyDescent="0.25"/>
    <row r="1940" s="13" customFormat="1" ht="18" customHeight="1" x14ac:dyDescent="0.25"/>
    <row r="1941" s="13" customFormat="1" ht="18" customHeight="1" x14ac:dyDescent="0.25"/>
    <row r="1942" s="13" customFormat="1" ht="18" customHeight="1" x14ac:dyDescent="0.25"/>
    <row r="1943" s="13" customFormat="1" ht="18" customHeight="1" x14ac:dyDescent="0.25"/>
    <row r="1944" s="13" customFormat="1" ht="18" customHeight="1" x14ac:dyDescent="0.25"/>
    <row r="1945" s="13" customFormat="1" ht="18" customHeight="1" x14ac:dyDescent="0.25"/>
    <row r="1946" s="13" customFormat="1" ht="18" customHeight="1" x14ac:dyDescent="0.25"/>
    <row r="1947" s="13" customFormat="1" ht="18" customHeight="1" x14ac:dyDescent="0.25"/>
    <row r="1948" s="13" customFormat="1" ht="18" customHeight="1" x14ac:dyDescent="0.25"/>
    <row r="1949" s="13" customFormat="1" ht="18" customHeight="1" x14ac:dyDescent="0.25"/>
    <row r="1950" s="13" customFormat="1" ht="18" customHeight="1" x14ac:dyDescent="0.25"/>
    <row r="1951" s="13" customFormat="1" ht="18" customHeight="1" x14ac:dyDescent="0.25"/>
    <row r="1952" s="13" customFormat="1" ht="18" customHeight="1" x14ac:dyDescent="0.25"/>
    <row r="1953" s="13" customFormat="1" ht="18" customHeight="1" x14ac:dyDescent="0.25"/>
    <row r="1954" s="13" customFormat="1" ht="18" customHeight="1" x14ac:dyDescent="0.25"/>
    <row r="1955" s="13" customFormat="1" ht="18" customHeight="1" x14ac:dyDescent="0.25"/>
    <row r="1956" s="13" customFormat="1" ht="18" customHeight="1" x14ac:dyDescent="0.25"/>
    <row r="1957" s="13" customFormat="1" ht="18" customHeight="1" x14ac:dyDescent="0.25"/>
    <row r="1958" s="13" customFormat="1" ht="18" customHeight="1" x14ac:dyDescent="0.25"/>
    <row r="1959" s="13" customFormat="1" ht="18" customHeight="1" x14ac:dyDescent="0.25"/>
    <row r="1960" s="13" customFormat="1" ht="18" customHeight="1" x14ac:dyDescent="0.25"/>
    <row r="1961" s="13" customFormat="1" ht="18" customHeight="1" x14ac:dyDescent="0.25"/>
    <row r="1962" s="13" customFormat="1" ht="18" customHeight="1" x14ac:dyDescent="0.25"/>
    <row r="1963" s="13" customFormat="1" ht="18" customHeight="1" x14ac:dyDescent="0.25"/>
    <row r="1964" s="13" customFormat="1" ht="18" customHeight="1" x14ac:dyDescent="0.25"/>
    <row r="1965" s="13" customFormat="1" ht="18" customHeight="1" x14ac:dyDescent="0.25"/>
    <row r="1966" s="13" customFormat="1" ht="18" customHeight="1" x14ac:dyDescent="0.25"/>
    <row r="1967" s="13" customFormat="1" ht="18" customHeight="1" x14ac:dyDescent="0.25"/>
    <row r="1968" s="13" customFormat="1" ht="18" customHeight="1" x14ac:dyDescent="0.25"/>
    <row r="1969" s="13" customFormat="1" ht="18" customHeight="1" x14ac:dyDescent="0.25"/>
    <row r="1970" s="13" customFormat="1" ht="18" customHeight="1" x14ac:dyDescent="0.25"/>
    <row r="1971" s="13" customFormat="1" ht="18" customHeight="1" x14ac:dyDescent="0.25"/>
    <row r="1972" s="13" customFormat="1" ht="18" customHeight="1" x14ac:dyDescent="0.25"/>
    <row r="1973" s="13" customFormat="1" ht="18" customHeight="1" x14ac:dyDescent="0.25"/>
    <row r="1974" s="13" customFormat="1" ht="18" customHeight="1" x14ac:dyDescent="0.25"/>
    <row r="1975" s="13" customFormat="1" ht="18" customHeight="1" x14ac:dyDescent="0.25"/>
    <row r="1976" s="13" customFormat="1" ht="18" customHeight="1" x14ac:dyDescent="0.25"/>
    <row r="1977" s="13" customFormat="1" ht="18" customHeight="1" x14ac:dyDescent="0.25"/>
    <row r="1978" s="13" customFormat="1" ht="18" customHeight="1" x14ac:dyDescent="0.25"/>
    <row r="1979" s="13" customFormat="1" ht="18" customHeight="1" x14ac:dyDescent="0.25"/>
    <row r="1980" s="13" customFormat="1" ht="18" customHeight="1" x14ac:dyDescent="0.25"/>
    <row r="1981" s="13" customFormat="1" ht="18" customHeight="1" x14ac:dyDescent="0.25"/>
    <row r="1982" s="13" customFormat="1" ht="18" customHeight="1" x14ac:dyDescent="0.25"/>
    <row r="1983" s="13" customFormat="1" ht="18" customHeight="1" x14ac:dyDescent="0.25"/>
    <row r="1984" s="13" customFormat="1" ht="18" customHeight="1" x14ac:dyDescent="0.25"/>
    <row r="1985" s="13" customFormat="1" ht="18" customHeight="1" x14ac:dyDescent="0.25"/>
    <row r="1986" s="13" customFormat="1" ht="18" customHeight="1" x14ac:dyDescent="0.25"/>
    <row r="1987" s="13" customFormat="1" ht="18" customHeight="1" x14ac:dyDescent="0.25"/>
    <row r="1988" s="13" customFormat="1" ht="18" customHeight="1" x14ac:dyDescent="0.25"/>
    <row r="1989" s="13" customFormat="1" ht="18" customHeight="1" x14ac:dyDescent="0.25"/>
    <row r="1990" s="13" customFormat="1" ht="18" customHeight="1" x14ac:dyDescent="0.25"/>
    <row r="1991" s="13" customFormat="1" ht="18" customHeight="1" x14ac:dyDescent="0.25"/>
    <row r="1992" s="13" customFormat="1" ht="18" customHeight="1" x14ac:dyDescent="0.25"/>
    <row r="1993" s="13" customFormat="1" ht="18" customHeight="1" x14ac:dyDescent="0.25"/>
    <row r="1994" s="13" customFormat="1" ht="18" customHeight="1" x14ac:dyDescent="0.25"/>
    <row r="1995" s="13" customFormat="1" ht="18" customHeight="1" x14ac:dyDescent="0.25"/>
    <row r="1996" s="13" customFormat="1" ht="18" customHeight="1" x14ac:dyDescent="0.25"/>
    <row r="1997" s="13" customFormat="1" ht="18" customHeight="1" x14ac:dyDescent="0.25"/>
    <row r="1998" s="13" customFormat="1" ht="18" customHeight="1" x14ac:dyDescent="0.25"/>
    <row r="1999" s="13" customFormat="1" ht="18" customHeight="1" x14ac:dyDescent="0.25"/>
    <row r="2000" s="13" customFormat="1" ht="18" customHeight="1" x14ac:dyDescent="0.25"/>
    <row r="2001" s="13" customFormat="1" ht="18" customHeight="1" x14ac:dyDescent="0.25"/>
    <row r="2002" s="13" customFormat="1" ht="18" customHeight="1" x14ac:dyDescent="0.25"/>
    <row r="2003" s="13" customFormat="1" ht="18" customHeight="1" x14ac:dyDescent="0.25"/>
    <row r="2004" s="13" customFormat="1" ht="18" customHeight="1" x14ac:dyDescent="0.25"/>
    <row r="2005" s="13" customFormat="1" ht="18" customHeight="1" x14ac:dyDescent="0.25"/>
    <row r="2006" s="13" customFormat="1" ht="18" customHeight="1" x14ac:dyDescent="0.25"/>
    <row r="2007" s="13" customFormat="1" ht="18" customHeight="1" x14ac:dyDescent="0.25"/>
    <row r="2008" s="13" customFormat="1" ht="18" customHeight="1" x14ac:dyDescent="0.25"/>
    <row r="2009" s="13" customFormat="1" ht="18" customHeight="1" x14ac:dyDescent="0.25"/>
    <row r="2010" s="13" customFormat="1" ht="18" customHeight="1" x14ac:dyDescent="0.25"/>
    <row r="2011" s="13" customFormat="1" ht="18" customHeight="1" x14ac:dyDescent="0.25"/>
    <row r="2012" s="13" customFormat="1" ht="18" customHeight="1" x14ac:dyDescent="0.25"/>
    <row r="2013" s="13" customFormat="1" ht="18" customHeight="1" x14ac:dyDescent="0.25"/>
    <row r="2014" s="13" customFormat="1" ht="18" customHeight="1" x14ac:dyDescent="0.25"/>
    <row r="2015" s="13" customFormat="1" ht="18" customHeight="1" x14ac:dyDescent="0.25"/>
    <row r="2016" s="13" customFormat="1" ht="18" customHeight="1" x14ac:dyDescent="0.25"/>
    <row r="2017" s="13" customFormat="1" ht="18" customHeight="1" x14ac:dyDescent="0.25"/>
    <row r="2018" s="13" customFormat="1" ht="18" customHeight="1" x14ac:dyDescent="0.25"/>
    <row r="2019" s="13" customFormat="1" ht="18" customHeight="1" x14ac:dyDescent="0.25"/>
    <row r="2020" s="13" customFormat="1" ht="18" customHeight="1" x14ac:dyDescent="0.25"/>
    <row r="2021" s="13" customFormat="1" ht="18" customHeight="1" x14ac:dyDescent="0.25"/>
    <row r="2022" s="13" customFormat="1" ht="18" customHeight="1" x14ac:dyDescent="0.25"/>
    <row r="2023" s="13" customFormat="1" ht="18" customHeight="1" x14ac:dyDescent="0.25"/>
    <row r="2024" s="13" customFormat="1" ht="18" customHeight="1" x14ac:dyDescent="0.25"/>
    <row r="2025" s="13" customFormat="1" ht="18" customHeight="1" x14ac:dyDescent="0.25"/>
    <row r="2026" s="13" customFormat="1" ht="18" customHeight="1" x14ac:dyDescent="0.25"/>
    <row r="2027" s="13" customFormat="1" ht="18" customHeight="1" x14ac:dyDescent="0.25"/>
    <row r="2028" s="13" customFormat="1" ht="18" customHeight="1" x14ac:dyDescent="0.25"/>
    <row r="2029" s="13" customFormat="1" ht="18" customHeight="1" x14ac:dyDescent="0.25"/>
    <row r="2030" s="13" customFormat="1" ht="18" customHeight="1" x14ac:dyDescent="0.25"/>
    <row r="2031" s="13" customFormat="1" ht="18" customHeight="1" x14ac:dyDescent="0.25"/>
    <row r="2032" s="13" customFormat="1" ht="18" customHeight="1" x14ac:dyDescent="0.25"/>
    <row r="2033" s="13" customFormat="1" ht="18" customHeight="1" x14ac:dyDescent="0.25"/>
    <row r="2034" s="13" customFormat="1" ht="18" customHeight="1" x14ac:dyDescent="0.25"/>
    <row r="2035" s="13" customFormat="1" ht="18" customHeight="1" x14ac:dyDescent="0.25"/>
    <row r="2036" s="13" customFormat="1" ht="18" customHeight="1" x14ac:dyDescent="0.25"/>
    <row r="2037" s="13" customFormat="1" ht="18" customHeight="1" x14ac:dyDescent="0.25"/>
    <row r="2038" s="13" customFormat="1" ht="18" customHeight="1" x14ac:dyDescent="0.25"/>
    <row r="2039" s="13" customFormat="1" ht="18" customHeight="1" x14ac:dyDescent="0.25"/>
    <row r="2040" s="13" customFormat="1" ht="18" customHeight="1" x14ac:dyDescent="0.25"/>
    <row r="2041" s="13" customFormat="1" ht="18" customHeight="1" x14ac:dyDescent="0.25"/>
    <row r="2042" s="13" customFormat="1" ht="18" customHeight="1" x14ac:dyDescent="0.25"/>
    <row r="2043" s="13" customFormat="1" ht="18" customHeight="1" x14ac:dyDescent="0.25"/>
    <row r="2044" s="13" customFormat="1" ht="18" customHeight="1" x14ac:dyDescent="0.25"/>
    <row r="2045" s="13" customFormat="1" ht="18" customHeight="1" x14ac:dyDescent="0.25"/>
    <row r="2046" s="13" customFormat="1" ht="18" customHeight="1" x14ac:dyDescent="0.25"/>
    <row r="2047" s="13" customFormat="1" ht="18" customHeight="1" x14ac:dyDescent="0.25"/>
    <row r="2048" s="13" customFormat="1" ht="18" customHeight="1" x14ac:dyDescent="0.25"/>
    <row r="2049" s="13" customFormat="1" ht="18" customHeight="1" x14ac:dyDescent="0.25"/>
    <row r="2050" s="13" customFormat="1" ht="18" customHeight="1" x14ac:dyDescent="0.25"/>
    <row r="2051" s="13" customFormat="1" ht="18" customHeight="1" x14ac:dyDescent="0.25"/>
    <row r="2052" s="13" customFormat="1" ht="18" customHeight="1" x14ac:dyDescent="0.25"/>
    <row r="2053" s="13" customFormat="1" ht="18" customHeight="1" x14ac:dyDescent="0.25"/>
    <row r="2054" s="13" customFormat="1" ht="18" customHeight="1" x14ac:dyDescent="0.25"/>
    <row r="2055" s="13" customFormat="1" ht="18" customHeight="1" x14ac:dyDescent="0.25"/>
    <row r="2056" s="13" customFormat="1" ht="18" customHeight="1" x14ac:dyDescent="0.25"/>
    <row r="2057" s="13" customFormat="1" ht="18" customHeight="1" x14ac:dyDescent="0.25"/>
    <row r="2058" s="13" customFormat="1" ht="18" customHeight="1" x14ac:dyDescent="0.25"/>
    <row r="2059" s="13" customFormat="1" ht="18" customHeight="1" x14ac:dyDescent="0.25"/>
    <row r="2060" s="13" customFormat="1" ht="18" customHeight="1" x14ac:dyDescent="0.25"/>
    <row r="2061" s="13" customFormat="1" ht="18" customHeight="1" x14ac:dyDescent="0.25"/>
    <row r="2062" s="13" customFormat="1" ht="18" customHeight="1" x14ac:dyDescent="0.25"/>
    <row r="2063" s="13" customFormat="1" ht="18" customHeight="1" x14ac:dyDescent="0.25"/>
    <row r="2064" s="13" customFormat="1" ht="18" customHeight="1" x14ac:dyDescent="0.25"/>
    <row r="2065" s="13" customFormat="1" ht="18" customHeight="1" x14ac:dyDescent="0.25"/>
    <row r="2066" s="13" customFormat="1" ht="18" customHeight="1" x14ac:dyDescent="0.25"/>
    <row r="2067" s="13" customFormat="1" ht="18" customHeight="1" x14ac:dyDescent="0.25"/>
    <row r="2068" s="13" customFormat="1" ht="18" customHeight="1" x14ac:dyDescent="0.25"/>
    <row r="2069" s="13" customFormat="1" ht="18" customHeight="1" x14ac:dyDescent="0.25"/>
    <row r="2070" s="13" customFormat="1" ht="18" customHeight="1" x14ac:dyDescent="0.25"/>
    <row r="2071" s="13" customFormat="1" ht="18" customHeight="1" x14ac:dyDescent="0.25"/>
    <row r="2072" s="13" customFormat="1" ht="18" customHeight="1" x14ac:dyDescent="0.25"/>
    <row r="2073" s="13" customFormat="1" ht="18" customHeight="1" x14ac:dyDescent="0.25"/>
    <row r="2074" s="13" customFormat="1" ht="18" customHeight="1" x14ac:dyDescent="0.25"/>
    <row r="2075" s="13" customFormat="1" ht="18" customHeight="1" x14ac:dyDescent="0.25"/>
    <row r="2076" s="13" customFormat="1" ht="18" customHeight="1" x14ac:dyDescent="0.25"/>
    <row r="2077" s="13" customFormat="1" ht="18" customHeight="1" x14ac:dyDescent="0.25"/>
    <row r="2078" s="13" customFormat="1" ht="18" customHeight="1" x14ac:dyDescent="0.25"/>
    <row r="2079" s="13" customFormat="1" ht="18" customHeight="1" x14ac:dyDescent="0.25"/>
    <row r="2080" s="13" customFormat="1" ht="18" customHeight="1" x14ac:dyDescent="0.25"/>
    <row r="2081" s="13" customFormat="1" ht="18" customHeight="1" x14ac:dyDescent="0.25"/>
    <row r="2082" s="13" customFormat="1" ht="18" customHeight="1" x14ac:dyDescent="0.25"/>
    <row r="2083" s="13" customFormat="1" ht="18" customHeight="1" x14ac:dyDescent="0.25"/>
    <row r="2084" s="13" customFormat="1" ht="18" customHeight="1" x14ac:dyDescent="0.25"/>
    <row r="2085" s="13" customFormat="1" ht="18" customHeight="1" x14ac:dyDescent="0.25"/>
    <row r="2086" s="13" customFormat="1" ht="18" customHeight="1" x14ac:dyDescent="0.25"/>
    <row r="2087" s="13" customFormat="1" ht="18" customHeight="1" x14ac:dyDescent="0.25"/>
    <row r="2088" s="13" customFormat="1" ht="18" customHeight="1" x14ac:dyDescent="0.25"/>
    <row r="2089" s="13" customFormat="1" ht="18" customHeight="1" x14ac:dyDescent="0.25"/>
    <row r="2090" s="13" customFormat="1" ht="18" customHeight="1" x14ac:dyDescent="0.25"/>
    <row r="2091" s="13" customFormat="1" ht="18" customHeight="1" x14ac:dyDescent="0.25"/>
    <row r="2092" s="13" customFormat="1" ht="18" customHeight="1" x14ac:dyDescent="0.25"/>
    <row r="2093" s="13" customFormat="1" ht="18" customHeight="1" x14ac:dyDescent="0.25"/>
    <row r="2094" s="13" customFormat="1" ht="18" customHeight="1" x14ac:dyDescent="0.25"/>
    <row r="2095" s="13" customFormat="1" ht="18" customHeight="1" x14ac:dyDescent="0.25"/>
    <row r="2096" s="13" customFormat="1" ht="18" customHeight="1" x14ac:dyDescent="0.25"/>
    <row r="2097" s="13" customFormat="1" ht="18" customHeight="1" x14ac:dyDescent="0.25"/>
    <row r="2098" s="13" customFormat="1" ht="18" customHeight="1" x14ac:dyDescent="0.25"/>
    <row r="2099" s="13" customFormat="1" ht="18" customHeight="1" x14ac:dyDescent="0.25"/>
    <row r="2100" s="13" customFormat="1" ht="18" customHeight="1" x14ac:dyDescent="0.25"/>
    <row r="2101" s="13" customFormat="1" ht="18" customHeight="1" x14ac:dyDescent="0.25"/>
    <row r="2102" s="13" customFormat="1" ht="18" customHeight="1" x14ac:dyDescent="0.25"/>
    <row r="2103" s="13" customFormat="1" ht="18" customHeight="1" x14ac:dyDescent="0.25"/>
    <row r="2104" s="13" customFormat="1" ht="18" customHeight="1" x14ac:dyDescent="0.25"/>
    <row r="2105" s="13" customFormat="1" ht="18" customHeight="1" x14ac:dyDescent="0.25"/>
    <row r="2106" s="13" customFormat="1" ht="18" customHeight="1" x14ac:dyDescent="0.25"/>
    <row r="2107" s="13" customFormat="1" ht="18" customHeight="1" x14ac:dyDescent="0.25"/>
    <row r="2108" s="13" customFormat="1" ht="18" customHeight="1" x14ac:dyDescent="0.25"/>
    <row r="2109" s="13" customFormat="1" ht="18" customHeight="1" x14ac:dyDescent="0.25"/>
    <row r="2110" s="13" customFormat="1" ht="18" customHeight="1" x14ac:dyDescent="0.25"/>
    <row r="2111" s="13" customFormat="1" ht="18" customHeight="1" x14ac:dyDescent="0.25"/>
    <row r="2112" s="13" customFormat="1" ht="18" customHeight="1" x14ac:dyDescent="0.25"/>
    <row r="2113" s="13" customFormat="1" ht="18" customHeight="1" x14ac:dyDescent="0.25"/>
    <row r="2114" s="13" customFormat="1" ht="18" customHeight="1" x14ac:dyDescent="0.25"/>
    <row r="2115" s="13" customFormat="1" ht="18" customHeight="1" x14ac:dyDescent="0.25"/>
    <row r="2116" s="13" customFormat="1" ht="18" customHeight="1" x14ac:dyDescent="0.25"/>
    <row r="2117" s="13" customFormat="1" ht="18" customHeight="1" x14ac:dyDescent="0.25"/>
    <row r="2118" s="13" customFormat="1" ht="18" customHeight="1" x14ac:dyDescent="0.25"/>
    <row r="2119" s="13" customFormat="1" ht="18" customHeight="1" x14ac:dyDescent="0.25"/>
    <row r="2120" s="13" customFormat="1" ht="18" customHeight="1" x14ac:dyDescent="0.25"/>
    <row r="2121" s="13" customFormat="1" ht="18" customHeight="1" x14ac:dyDescent="0.25"/>
    <row r="2122" s="13" customFormat="1" ht="18" customHeight="1" x14ac:dyDescent="0.25"/>
    <row r="2123" s="13" customFormat="1" ht="18" customHeight="1" x14ac:dyDescent="0.25"/>
    <row r="2124" s="13" customFormat="1" ht="18" customHeight="1" x14ac:dyDescent="0.25"/>
    <row r="2125" s="13" customFormat="1" ht="18" customHeight="1" x14ac:dyDescent="0.25"/>
    <row r="2126" s="13" customFormat="1" ht="18" customHeight="1" x14ac:dyDescent="0.25"/>
    <row r="2127" s="13" customFormat="1" ht="18" customHeight="1" x14ac:dyDescent="0.25"/>
    <row r="2128" s="13" customFormat="1" ht="18" customHeight="1" x14ac:dyDescent="0.25"/>
    <row r="2129" s="13" customFormat="1" ht="18" customHeight="1" x14ac:dyDescent="0.25"/>
    <row r="2130" s="13" customFormat="1" ht="18" customHeight="1" x14ac:dyDescent="0.25"/>
    <row r="2131" s="13" customFormat="1" ht="18" customHeight="1" x14ac:dyDescent="0.25"/>
    <row r="2132" s="13" customFormat="1" ht="18" customHeight="1" x14ac:dyDescent="0.25"/>
    <row r="2133" s="13" customFormat="1" ht="18" customHeight="1" x14ac:dyDescent="0.25"/>
    <row r="2134" s="13" customFormat="1" ht="18" customHeight="1" x14ac:dyDescent="0.25"/>
    <row r="2135" s="13" customFormat="1" ht="18" customHeight="1" x14ac:dyDescent="0.25"/>
    <row r="2136" s="13" customFormat="1" ht="18" customHeight="1" x14ac:dyDescent="0.25"/>
    <row r="2137" s="13" customFormat="1" ht="18" customHeight="1" x14ac:dyDescent="0.25"/>
    <row r="2138" s="13" customFormat="1" ht="18" customHeight="1" x14ac:dyDescent="0.25"/>
    <row r="2139" s="13" customFormat="1" ht="18" customHeight="1" x14ac:dyDescent="0.25"/>
    <row r="2140" s="13" customFormat="1" ht="18" customHeight="1" x14ac:dyDescent="0.25"/>
    <row r="2141" s="13" customFormat="1" ht="18" customHeight="1" x14ac:dyDescent="0.25"/>
    <row r="2142" s="13" customFormat="1" ht="18" customHeight="1" x14ac:dyDescent="0.25"/>
    <row r="2143" s="13" customFormat="1" ht="18" customHeight="1" x14ac:dyDescent="0.25"/>
    <row r="2144" s="13" customFormat="1" ht="18" customHeight="1" x14ac:dyDescent="0.25"/>
    <row r="2145" s="13" customFormat="1" ht="18" customHeight="1" x14ac:dyDescent="0.25"/>
    <row r="2146" s="13" customFormat="1" ht="18" customHeight="1" x14ac:dyDescent="0.25"/>
    <row r="2147" s="13" customFormat="1" ht="18" customHeight="1" x14ac:dyDescent="0.25"/>
    <row r="2148" s="13" customFormat="1" ht="18" customHeight="1" x14ac:dyDescent="0.25"/>
    <row r="2149" s="13" customFormat="1" ht="18" customHeight="1" x14ac:dyDescent="0.25"/>
    <row r="2150" s="13" customFormat="1" ht="18" customHeight="1" x14ac:dyDescent="0.25"/>
    <row r="2151" s="13" customFormat="1" ht="18" customHeight="1" x14ac:dyDescent="0.25"/>
    <row r="2152" s="13" customFormat="1" ht="18" customHeight="1" x14ac:dyDescent="0.25"/>
    <row r="2153" s="13" customFormat="1" ht="18" customHeight="1" x14ac:dyDescent="0.25"/>
    <row r="2154" s="13" customFormat="1" ht="18" customHeight="1" x14ac:dyDescent="0.25"/>
    <row r="2155" s="13" customFormat="1" ht="18" customHeight="1" x14ac:dyDescent="0.25"/>
    <row r="2156" s="13" customFormat="1" ht="18" customHeight="1" x14ac:dyDescent="0.25"/>
    <row r="2157" s="13" customFormat="1" ht="18" customHeight="1" x14ac:dyDescent="0.25"/>
    <row r="2158" s="13" customFormat="1" ht="18" customHeight="1" x14ac:dyDescent="0.25"/>
    <row r="2159" s="13" customFormat="1" ht="18" customHeight="1" x14ac:dyDescent="0.25"/>
    <row r="2160" s="13" customFormat="1" ht="18" customHeight="1" x14ac:dyDescent="0.25"/>
    <row r="2161" s="13" customFormat="1" ht="18" customHeight="1" x14ac:dyDescent="0.25"/>
    <row r="2162" s="13" customFormat="1" ht="18" customHeight="1" x14ac:dyDescent="0.25"/>
    <row r="2163" s="13" customFormat="1" ht="18" customHeight="1" x14ac:dyDescent="0.25"/>
    <row r="2164" s="13" customFormat="1" ht="18" customHeight="1" x14ac:dyDescent="0.25"/>
    <row r="2165" s="13" customFormat="1" ht="18" customHeight="1" x14ac:dyDescent="0.25"/>
    <row r="2166" s="13" customFormat="1" ht="18" customHeight="1" x14ac:dyDescent="0.25"/>
    <row r="2167" s="13" customFormat="1" ht="18" customHeight="1" x14ac:dyDescent="0.25"/>
    <row r="2168" s="13" customFormat="1" ht="18" customHeight="1" x14ac:dyDescent="0.25"/>
    <row r="2169" s="13" customFormat="1" ht="18" customHeight="1" x14ac:dyDescent="0.25"/>
    <row r="2170" s="13" customFormat="1" ht="18" customHeight="1" x14ac:dyDescent="0.25"/>
    <row r="2171" s="13" customFormat="1" ht="18" customHeight="1" x14ac:dyDescent="0.25"/>
    <row r="2172" s="13" customFormat="1" ht="18" customHeight="1" x14ac:dyDescent="0.25"/>
    <row r="2173" s="13" customFormat="1" ht="18" customHeight="1" x14ac:dyDescent="0.25"/>
    <row r="2174" s="13" customFormat="1" ht="18" customHeight="1" x14ac:dyDescent="0.25"/>
    <row r="2175" s="13" customFormat="1" ht="18" customHeight="1" x14ac:dyDescent="0.25"/>
    <row r="2176" s="13" customFormat="1" ht="18" customHeight="1" x14ac:dyDescent="0.25"/>
    <row r="2177" s="13" customFormat="1" ht="18" customHeight="1" x14ac:dyDescent="0.25"/>
    <row r="2178" s="13" customFormat="1" ht="18" customHeight="1" x14ac:dyDescent="0.25"/>
    <row r="2179" s="13" customFormat="1" ht="18" customHeight="1" x14ac:dyDescent="0.25"/>
    <row r="2180" s="13" customFormat="1" ht="18" customHeight="1" x14ac:dyDescent="0.25"/>
    <row r="2181" s="13" customFormat="1" ht="18" customHeight="1" x14ac:dyDescent="0.25"/>
    <row r="2182" s="13" customFormat="1" ht="18" customHeight="1" x14ac:dyDescent="0.25"/>
    <row r="2183" s="13" customFormat="1" ht="18" customHeight="1" x14ac:dyDescent="0.25"/>
    <row r="2184" s="13" customFormat="1" ht="18" customHeight="1" x14ac:dyDescent="0.25"/>
    <row r="2185" s="13" customFormat="1" ht="18" customHeight="1" x14ac:dyDescent="0.25"/>
    <row r="2186" s="13" customFormat="1" ht="18" customHeight="1" x14ac:dyDescent="0.25"/>
    <row r="2187" s="13" customFormat="1" ht="18" customHeight="1" x14ac:dyDescent="0.25"/>
    <row r="2188" s="13" customFormat="1" ht="18" customHeight="1" x14ac:dyDescent="0.25"/>
    <row r="2189" s="13" customFormat="1" ht="18" customHeight="1" x14ac:dyDescent="0.25"/>
    <row r="2190" s="13" customFormat="1" ht="18" customHeight="1" x14ac:dyDescent="0.25"/>
    <row r="2191" s="13" customFormat="1" ht="18" customHeight="1" x14ac:dyDescent="0.25"/>
    <row r="2192" s="13" customFormat="1" ht="18" customHeight="1" x14ac:dyDescent="0.25"/>
    <row r="2193" s="13" customFormat="1" ht="18" customHeight="1" x14ac:dyDescent="0.25"/>
    <row r="2194" s="13" customFormat="1" ht="18" customHeight="1" x14ac:dyDescent="0.25"/>
    <row r="2195" s="13" customFormat="1" ht="18" customHeight="1" x14ac:dyDescent="0.25"/>
    <row r="2196" s="13" customFormat="1" ht="18" customHeight="1" x14ac:dyDescent="0.25"/>
    <row r="2197" s="13" customFormat="1" ht="18" customHeight="1" x14ac:dyDescent="0.25"/>
    <row r="2198" s="13" customFormat="1" ht="18" customHeight="1" x14ac:dyDescent="0.25"/>
    <row r="2199" s="13" customFormat="1" ht="18" customHeight="1" x14ac:dyDescent="0.25"/>
    <row r="2200" s="13" customFormat="1" ht="18" customHeight="1" x14ac:dyDescent="0.25"/>
    <row r="2201" s="13" customFormat="1" ht="18" customHeight="1" x14ac:dyDescent="0.25"/>
    <row r="2202" s="13" customFormat="1" ht="18" customHeight="1" x14ac:dyDescent="0.25"/>
    <row r="2203" s="13" customFormat="1" ht="18" customHeight="1" x14ac:dyDescent="0.25"/>
    <row r="2204" s="13" customFormat="1" ht="18" customHeight="1" x14ac:dyDescent="0.25"/>
    <row r="2205" s="13" customFormat="1" ht="18" customHeight="1" x14ac:dyDescent="0.25"/>
    <row r="2206" s="13" customFormat="1" ht="18" customHeight="1" x14ac:dyDescent="0.25"/>
    <row r="2207" s="13" customFormat="1" ht="18" customHeight="1" x14ac:dyDescent="0.25"/>
    <row r="2208" s="13" customFormat="1" ht="18" customHeight="1" x14ac:dyDescent="0.25"/>
    <row r="2209" s="13" customFormat="1" ht="18" customHeight="1" x14ac:dyDescent="0.25"/>
    <row r="2210" s="13" customFormat="1" ht="18" customHeight="1" x14ac:dyDescent="0.25"/>
    <row r="2211" s="13" customFormat="1" ht="18" customHeight="1" x14ac:dyDescent="0.25"/>
    <row r="2212" s="13" customFormat="1" ht="18" customHeight="1" x14ac:dyDescent="0.25"/>
    <row r="2213" s="13" customFormat="1" ht="18" customHeight="1" x14ac:dyDescent="0.25"/>
    <row r="2214" s="13" customFormat="1" ht="18" customHeight="1" x14ac:dyDescent="0.25"/>
    <row r="2215" s="13" customFormat="1" ht="18" customHeight="1" x14ac:dyDescent="0.25"/>
    <row r="2216" s="13" customFormat="1" ht="18" customHeight="1" x14ac:dyDescent="0.25"/>
    <row r="2217" s="13" customFormat="1" ht="18" customHeight="1" x14ac:dyDescent="0.25"/>
    <row r="2218" s="13" customFormat="1" ht="18" customHeight="1" x14ac:dyDescent="0.25"/>
    <row r="2219" s="13" customFormat="1" ht="18" customHeight="1" x14ac:dyDescent="0.25"/>
    <row r="2220" s="13" customFormat="1" ht="18" customHeight="1" x14ac:dyDescent="0.25"/>
    <row r="2221" s="13" customFormat="1" ht="18" customHeight="1" x14ac:dyDescent="0.25"/>
    <row r="2222" s="13" customFormat="1" ht="18" customHeight="1" x14ac:dyDescent="0.25"/>
    <row r="2223" s="13" customFormat="1" ht="18" customHeight="1" x14ac:dyDescent="0.25"/>
    <row r="2224" s="13" customFormat="1" ht="18" customHeight="1" x14ac:dyDescent="0.25"/>
    <row r="2225" s="13" customFormat="1" ht="18" customHeight="1" x14ac:dyDescent="0.25"/>
    <row r="2226" s="13" customFormat="1" ht="18" customHeight="1" x14ac:dyDescent="0.25"/>
    <row r="2227" s="13" customFormat="1" ht="18" customHeight="1" x14ac:dyDescent="0.25"/>
    <row r="2228" s="13" customFormat="1" ht="18" customHeight="1" x14ac:dyDescent="0.25"/>
    <row r="2229" s="13" customFormat="1" ht="18" customHeight="1" x14ac:dyDescent="0.25"/>
    <row r="2230" s="13" customFormat="1" ht="18" customHeight="1" x14ac:dyDescent="0.25"/>
    <row r="2231" s="13" customFormat="1" ht="18" customHeight="1" x14ac:dyDescent="0.25"/>
    <row r="2232" s="13" customFormat="1" ht="18" customHeight="1" x14ac:dyDescent="0.25"/>
    <row r="2233" s="13" customFormat="1" ht="18" customHeight="1" x14ac:dyDescent="0.25"/>
    <row r="2234" s="13" customFormat="1" ht="18" customHeight="1" x14ac:dyDescent="0.25"/>
    <row r="2235" s="13" customFormat="1" ht="18" customHeight="1" x14ac:dyDescent="0.25"/>
    <row r="2236" s="13" customFormat="1" ht="18" customHeight="1" x14ac:dyDescent="0.25"/>
    <row r="2237" s="13" customFormat="1" ht="18" customHeight="1" x14ac:dyDescent="0.25"/>
    <row r="2238" s="13" customFormat="1" ht="18" customHeight="1" x14ac:dyDescent="0.25"/>
    <row r="2239" s="13" customFormat="1" ht="18" customHeight="1" x14ac:dyDescent="0.25"/>
    <row r="2240" s="13" customFormat="1" ht="18" customHeight="1" x14ac:dyDescent="0.25"/>
    <row r="2241" s="13" customFormat="1" ht="18" customHeight="1" x14ac:dyDescent="0.25"/>
    <row r="2242" s="13" customFormat="1" ht="18" customHeight="1" x14ac:dyDescent="0.25"/>
    <row r="2243" s="13" customFormat="1" ht="18" customHeight="1" x14ac:dyDescent="0.25"/>
    <row r="2244" s="13" customFormat="1" ht="18" customHeight="1" x14ac:dyDescent="0.25"/>
    <row r="2245" s="13" customFormat="1" ht="18" customHeight="1" x14ac:dyDescent="0.25"/>
    <row r="2246" s="13" customFormat="1" ht="18" customHeight="1" x14ac:dyDescent="0.25"/>
    <row r="2247" s="13" customFormat="1" ht="18" customHeight="1" x14ac:dyDescent="0.25"/>
    <row r="2248" s="13" customFormat="1" ht="18" customHeight="1" x14ac:dyDescent="0.25"/>
    <row r="2249" s="13" customFormat="1" ht="18" customHeight="1" x14ac:dyDescent="0.25"/>
    <row r="2250" s="13" customFormat="1" ht="18" customHeight="1" x14ac:dyDescent="0.25"/>
    <row r="2251" s="13" customFormat="1" ht="18" customHeight="1" x14ac:dyDescent="0.25"/>
    <row r="2252" s="13" customFormat="1" ht="18" customHeight="1" x14ac:dyDescent="0.25"/>
    <row r="2253" s="13" customFormat="1" ht="18" customHeight="1" x14ac:dyDescent="0.25"/>
    <row r="2254" s="13" customFormat="1" ht="18" customHeight="1" x14ac:dyDescent="0.25"/>
    <row r="2255" s="13" customFormat="1" ht="18" customHeight="1" x14ac:dyDescent="0.25"/>
    <row r="2256" s="13" customFormat="1" ht="18" customHeight="1" x14ac:dyDescent="0.25"/>
    <row r="2257" s="13" customFormat="1" ht="18" customHeight="1" x14ac:dyDescent="0.25"/>
    <row r="2258" s="13" customFormat="1" ht="18" customHeight="1" x14ac:dyDescent="0.25"/>
    <row r="2259" s="13" customFormat="1" ht="18" customHeight="1" x14ac:dyDescent="0.25"/>
    <row r="2260" s="13" customFormat="1" ht="18" customHeight="1" x14ac:dyDescent="0.25"/>
    <row r="2261" s="13" customFormat="1" ht="18" customHeight="1" x14ac:dyDescent="0.25"/>
    <row r="2262" s="13" customFormat="1" ht="18" customHeight="1" x14ac:dyDescent="0.25"/>
    <row r="2263" s="13" customFormat="1" ht="18" customHeight="1" x14ac:dyDescent="0.25"/>
    <row r="2264" s="13" customFormat="1" ht="18" customHeight="1" x14ac:dyDescent="0.25"/>
    <row r="2265" s="13" customFormat="1" ht="18" customHeight="1" x14ac:dyDescent="0.25"/>
    <row r="2266" s="13" customFormat="1" ht="18" customHeight="1" x14ac:dyDescent="0.25"/>
    <row r="2267" s="13" customFormat="1" ht="18" customHeight="1" x14ac:dyDescent="0.25"/>
    <row r="2268" s="13" customFormat="1" ht="18" customHeight="1" x14ac:dyDescent="0.25"/>
    <row r="2269" s="13" customFormat="1" ht="18" customHeight="1" x14ac:dyDescent="0.25"/>
    <row r="2270" s="13" customFormat="1" ht="18" customHeight="1" x14ac:dyDescent="0.25"/>
    <row r="2271" s="13" customFormat="1" ht="18" customHeight="1" x14ac:dyDescent="0.25"/>
    <row r="2272" s="13" customFormat="1" ht="18" customHeight="1" x14ac:dyDescent="0.25"/>
    <row r="2273" s="13" customFormat="1" ht="18" customHeight="1" x14ac:dyDescent="0.25"/>
    <row r="2274" s="13" customFormat="1" ht="18" customHeight="1" x14ac:dyDescent="0.25"/>
    <row r="2275" s="13" customFormat="1" ht="18" customHeight="1" x14ac:dyDescent="0.25"/>
    <row r="2276" s="13" customFormat="1" ht="18" customHeight="1" x14ac:dyDescent="0.25"/>
    <row r="2277" s="13" customFormat="1" ht="18" customHeight="1" x14ac:dyDescent="0.25"/>
    <row r="2278" s="13" customFormat="1" ht="18" customHeight="1" x14ac:dyDescent="0.25"/>
    <row r="2279" s="13" customFormat="1" ht="18" customHeight="1" x14ac:dyDescent="0.25"/>
    <row r="2280" s="13" customFormat="1" ht="18" customHeight="1" x14ac:dyDescent="0.25"/>
    <row r="2281" s="13" customFormat="1" ht="18" customHeight="1" x14ac:dyDescent="0.25"/>
    <row r="2282" s="13" customFormat="1" ht="18" customHeight="1" x14ac:dyDescent="0.25"/>
    <row r="2283" s="13" customFormat="1" ht="18" customHeight="1" x14ac:dyDescent="0.25"/>
    <row r="2284" s="13" customFormat="1" ht="18" customHeight="1" x14ac:dyDescent="0.25"/>
    <row r="2285" s="13" customFormat="1" ht="18" customHeight="1" x14ac:dyDescent="0.25"/>
    <row r="2286" s="13" customFormat="1" ht="18" customHeight="1" x14ac:dyDescent="0.25"/>
    <row r="2287" s="13" customFormat="1" ht="18" customHeight="1" x14ac:dyDescent="0.25"/>
    <row r="2288" s="13" customFormat="1" ht="18" customHeight="1" x14ac:dyDescent="0.25"/>
    <row r="2289" s="13" customFormat="1" ht="18" customHeight="1" x14ac:dyDescent="0.25"/>
    <row r="2290" s="13" customFormat="1" ht="18" customHeight="1" x14ac:dyDescent="0.25"/>
    <row r="2291" s="13" customFormat="1" ht="18" customHeight="1" x14ac:dyDescent="0.25"/>
    <row r="2292" s="13" customFormat="1" ht="18" customHeight="1" x14ac:dyDescent="0.25"/>
    <row r="2293" s="13" customFormat="1" ht="18" customHeight="1" x14ac:dyDescent="0.25"/>
    <row r="2294" s="13" customFormat="1" ht="18" customHeight="1" x14ac:dyDescent="0.25"/>
    <row r="2295" s="13" customFormat="1" ht="18" customHeight="1" x14ac:dyDescent="0.25"/>
    <row r="2296" s="13" customFormat="1" ht="18" customHeight="1" x14ac:dyDescent="0.25"/>
    <row r="2297" s="13" customFormat="1" ht="18" customHeight="1" x14ac:dyDescent="0.25"/>
    <row r="2298" s="13" customFormat="1" ht="18" customHeight="1" x14ac:dyDescent="0.25"/>
    <row r="2299" s="13" customFormat="1" ht="18" customHeight="1" x14ac:dyDescent="0.25"/>
    <row r="2300" s="13" customFormat="1" ht="18" customHeight="1" x14ac:dyDescent="0.25"/>
    <row r="2301" s="13" customFormat="1" ht="18" customHeight="1" x14ac:dyDescent="0.25"/>
    <row r="2302" s="13" customFormat="1" ht="18" customHeight="1" x14ac:dyDescent="0.25"/>
    <row r="2303" s="13" customFormat="1" ht="18" customHeight="1" x14ac:dyDescent="0.25"/>
    <row r="2304" s="13" customFormat="1" ht="18" customHeight="1" x14ac:dyDescent="0.25"/>
    <row r="2305" s="13" customFormat="1" ht="18" customHeight="1" x14ac:dyDescent="0.25"/>
    <row r="2306" s="13" customFormat="1" ht="18" customHeight="1" x14ac:dyDescent="0.25"/>
    <row r="2307" s="13" customFormat="1" ht="18" customHeight="1" x14ac:dyDescent="0.25"/>
    <row r="2308" s="13" customFormat="1" ht="18" customHeight="1" x14ac:dyDescent="0.25"/>
    <row r="2309" s="13" customFormat="1" ht="18" customHeight="1" x14ac:dyDescent="0.25"/>
    <row r="2310" s="13" customFormat="1" ht="18" customHeight="1" x14ac:dyDescent="0.25"/>
    <row r="2311" s="13" customFormat="1" ht="18" customHeight="1" x14ac:dyDescent="0.25"/>
    <row r="2312" s="13" customFormat="1" ht="18" customHeight="1" x14ac:dyDescent="0.25"/>
    <row r="2313" s="13" customFormat="1" ht="18" customHeight="1" x14ac:dyDescent="0.25"/>
    <row r="2314" s="13" customFormat="1" ht="18" customHeight="1" x14ac:dyDescent="0.25"/>
    <row r="2315" s="13" customFormat="1" ht="18" customHeight="1" x14ac:dyDescent="0.25"/>
    <row r="2316" s="13" customFormat="1" ht="18" customHeight="1" x14ac:dyDescent="0.25"/>
    <row r="2317" s="13" customFormat="1" ht="18" customHeight="1" x14ac:dyDescent="0.25"/>
    <row r="2318" s="13" customFormat="1" ht="18" customHeight="1" x14ac:dyDescent="0.25"/>
    <row r="2319" s="13" customFormat="1" ht="18" customHeight="1" x14ac:dyDescent="0.25"/>
    <row r="2320" s="13" customFormat="1" ht="18" customHeight="1" x14ac:dyDescent="0.25"/>
    <row r="2321" s="13" customFormat="1" ht="18" customHeight="1" x14ac:dyDescent="0.25"/>
    <row r="2322" s="13" customFormat="1" ht="18" customHeight="1" x14ac:dyDescent="0.25"/>
    <row r="2323" s="13" customFormat="1" ht="18" customHeight="1" x14ac:dyDescent="0.25"/>
    <row r="2324" s="13" customFormat="1" ht="18" customHeight="1" x14ac:dyDescent="0.25"/>
    <row r="2325" s="13" customFormat="1" ht="18" customHeight="1" x14ac:dyDescent="0.25"/>
    <row r="2326" s="13" customFormat="1" ht="18" customHeight="1" x14ac:dyDescent="0.25"/>
    <row r="2327" s="13" customFormat="1" ht="18" customHeight="1" x14ac:dyDescent="0.25"/>
    <row r="2328" s="13" customFormat="1" ht="18" customHeight="1" x14ac:dyDescent="0.25"/>
    <row r="2329" s="13" customFormat="1" ht="18" customHeight="1" x14ac:dyDescent="0.25"/>
    <row r="2330" s="13" customFormat="1" ht="18" customHeight="1" x14ac:dyDescent="0.25"/>
    <row r="2331" s="13" customFormat="1" ht="18" customHeight="1" x14ac:dyDescent="0.25"/>
    <row r="2332" s="13" customFormat="1" ht="18" customHeight="1" x14ac:dyDescent="0.25"/>
    <row r="2333" s="13" customFormat="1" ht="18" customHeight="1" x14ac:dyDescent="0.25"/>
    <row r="2334" s="13" customFormat="1" ht="18" customHeight="1" x14ac:dyDescent="0.25"/>
    <row r="2335" s="13" customFormat="1" ht="18" customHeight="1" x14ac:dyDescent="0.25"/>
    <row r="2336" s="13" customFormat="1" ht="18" customHeight="1" x14ac:dyDescent="0.25"/>
    <row r="2337" s="13" customFormat="1" ht="18" customHeight="1" x14ac:dyDescent="0.25"/>
    <row r="2338" s="13" customFormat="1" ht="18" customHeight="1" x14ac:dyDescent="0.25"/>
    <row r="2339" s="13" customFormat="1" ht="18" customHeight="1" x14ac:dyDescent="0.25"/>
    <row r="2340" s="13" customFormat="1" ht="18" customHeight="1" x14ac:dyDescent="0.25"/>
    <row r="2341" s="13" customFormat="1" ht="18" customHeight="1" x14ac:dyDescent="0.25"/>
    <row r="2342" s="13" customFormat="1" ht="18" customHeight="1" x14ac:dyDescent="0.25"/>
    <row r="2343" s="13" customFormat="1" ht="18" customHeight="1" x14ac:dyDescent="0.25"/>
    <row r="2344" s="13" customFormat="1" ht="18" customHeight="1" x14ac:dyDescent="0.25"/>
    <row r="2345" s="13" customFormat="1" ht="18" customHeight="1" x14ac:dyDescent="0.25"/>
    <row r="2346" s="13" customFormat="1" ht="18" customHeight="1" x14ac:dyDescent="0.25"/>
    <row r="2347" s="13" customFormat="1" ht="18" customHeight="1" x14ac:dyDescent="0.25"/>
    <row r="2348" s="13" customFormat="1" ht="18" customHeight="1" x14ac:dyDescent="0.25"/>
    <row r="2349" s="13" customFormat="1" ht="18" customHeight="1" x14ac:dyDescent="0.25"/>
    <row r="2350" s="13" customFormat="1" ht="18" customHeight="1" x14ac:dyDescent="0.25"/>
    <row r="2351" s="13" customFormat="1" ht="18" customHeight="1" x14ac:dyDescent="0.25"/>
    <row r="2352" s="13" customFormat="1" ht="18" customHeight="1" x14ac:dyDescent="0.25"/>
    <row r="2353" s="13" customFormat="1" ht="18" customHeight="1" x14ac:dyDescent="0.25"/>
    <row r="2354" s="13" customFormat="1" ht="18" customHeight="1" x14ac:dyDescent="0.25"/>
    <row r="2355" s="13" customFormat="1" ht="18" customHeight="1" x14ac:dyDescent="0.25"/>
    <row r="2356" s="13" customFormat="1" ht="18" customHeight="1" x14ac:dyDescent="0.25"/>
    <row r="2357" s="13" customFormat="1" ht="18" customHeight="1" x14ac:dyDescent="0.25"/>
    <row r="2358" s="13" customFormat="1" ht="18" customHeight="1" x14ac:dyDescent="0.25"/>
    <row r="2359" s="13" customFormat="1" ht="18" customHeight="1" x14ac:dyDescent="0.25"/>
    <row r="2360" s="13" customFormat="1" ht="18" customHeight="1" x14ac:dyDescent="0.25"/>
    <row r="2361" s="13" customFormat="1" ht="18" customHeight="1" x14ac:dyDescent="0.25"/>
    <row r="2362" s="13" customFormat="1" ht="18" customHeight="1" x14ac:dyDescent="0.25"/>
    <row r="2363" s="13" customFormat="1" ht="18" customHeight="1" x14ac:dyDescent="0.25"/>
    <row r="2364" s="13" customFormat="1" ht="18" customHeight="1" x14ac:dyDescent="0.25"/>
    <row r="2365" s="13" customFormat="1" ht="18" customHeight="1" x14ac:dyDescent="0.25"/>
    <row r="2366" s="13" customFormat="1" ht="18" customHeight="1" x14ac:dyDescent="0.25"/>
    <row r="2367" s="13" customFormat="1" ht="18" customHeight="1" x14ac:dyDescent="0.25"/>
    <row r="2368" s="13" customFormat="1" ht="18" customHeight="1" x14ac:dyDescent="0.25"/>
    <row r="2369" s="13" customFormat="1" ht="18" customHeight="1" x14ac:dyDescent="0.25"/>
    <row r="2370" s="13" customFormat="1" ht="18" customHeight="1" x14ac:dyDescent="0.25"/>
    <row r="2371" s="13" customFormat="1" ht="18" customHeight="1" x14ac:dyDescent="0.25"/>
    <row r="2372" s="13" customFormat="1" ht="18" customHeight="1" x14ac:dyDescent="0.25"/>
    <row r="2373" s="13" customFormat="1" ht="18" customHeight="1" x14ac:dyDescent="0.25"/>
    <row r="2374" s="13" customFormat="1" ht="18" customHeight="1" x14ac:dyDescent="0.25"/>
    <row r="2375" s="13" customFormat="1" ht="18" customHeight="1" x14ac:dyDescent="0.25"/>
    <row r="2376" s="13" customFormat="1" ht="18" customHeight="1" x14ac:dyDescent="0.25"/>
    <row r="2377" s="13" customFormat="1" ht="18" customHeight="1" x14ac:dyDescent="0.25"/>
    <row r="2378" s="13" customFormat="1" ht="18" customHeight="1" x14ac:dyDescent="0.25"/>
    <row r="2379" s="13" customFormat="1" ht="18" customHeight="1" x14ac:dyDescent="0.25"/>
    <row r="2380" s="13" customFormat="1" ht="18" customHeight="1" x14ac:dyDescent="0.25"/>
    <row r="2381" s="13" customFormat="1" ht="18" customHeight="1" x14ac:dyDescent="0.25"/>
    <row r="2382" s="13" customFormat="1" ht="18" customHeight="1" x14ac:dyDescent="0.25"/>
    <row r="2383" s="13" customFormat="1" ht="18" customHeight="1" x14ac:dyDescent="0.25"/>
    <row r="2384" s="13" customFormat="1" ht="18" customHeight="1" x14ac:dyDescent="0.25"/>
    <row r="2385" s="13" customFormat="1" ht="18" customHeight="1" x14ac:dyDescent="0.25"/>
    <row r="2386" s="13" customFormat="1" ht="18" customHeight="1" x14ac:dyDescent="0.25"/>
    <row r="2387" s="13" customFormat="1" ht="18" customHeight="1" x14ac:dyDescent="0.25"/>
    <row r="2388" s="13" customFormat="1" ht="18" customHeight="1" x14ac:dyDescent="0.25"/>
    <row r="2389" s="13" customFormat="1" ht="18" customHeight="1" x14ac:dyDescent="0.25"/>
    <row r="2390" s="13" customFormat="1" ht="18" customHeight="1" x14ac:dyDescent="0.25"/>
    <row r="2391" s="13" customFormat="1" ht="18" customHeight="1" x14ac:dyDescent="0.25"/>
    <row r="2392" s="13" customFormat="1" ht="18" customHeight="1" x14ac:dyDescent="0.25"/>
    <row r="2393" s="13" customFormat="1" ht="18" customHeight="1" x14ac:dyDescent="0.25"/>
    <row r="2394" s="13" customFormat="1" ht="18" customHeight="1" x14ac:dyDescent="0.25"/>
    <row r="2395" s="13" customFormat="1" ht="18" customHeight="1" x14ac:dyDescent="0.25"/>
    <row r="2396" s="13" customFormat="1" ht="18" customHeight="1" x14ac:dyDescent="0.25"/>
    <row r="2397" s="13" customFormat="1" ht="18" customHeight="1" x14ac:dyDescent="0.25"/>
    <row r="2398" s="13" customFormat="1" ht="18" customHeight="1" x14ac:dyDescent="0.25"/>
    <row r="2399" s="13" customFormat="1" ht="18" customHeight="1" x14ac:dyDescent="0.25"/>
    <row r="2400" s="13" customFormat="1" ht="18" customHeight="1" x14ac:dyDescent="0.25"/>
    <row r="2401" s="13" customFormat="1" ht="18" customHeight="1" x14ac:dyDescent="0.25"/>
    <row r="2402" s="13" customFormat="1" ht="18" customHeight="1" x14ac:dyDescent="0.25"/>
    <row r="2403" s="13" customFormat="1" ht="18" customHeight="1" x14ac:dyDescent="0.25"/>
    <row r="2404" s="13" customFormat="1" ht="18" customHeight="1" x14ac:dyDescent="0.25"/>
    <row r="2405" s="13" customFormat="1" ht="18" customHeight="1" x14ac:dyDescent="0.25"/>
    <row r="2406" s="13" customFormat="1" ht="18" customHeight="1" x14ac:dyDescent="0.25"/>
    <row r="2407" s="13" customFormat="1" ht="18" customHeight="1" x14ac:dyDescent="0.25"/>
    <row r="2408" s="13" customFormat="1" ht="18" customHeight="1" x14ac:dyDescent="0.25"/>
    <row r="2409" s="13" customFormat="1" ht="18" customHeight="1" x14ac:dyDescent="0.25"/>
    <row r="2410" s="13" customFormat="1" ht="18" customHeight="1" x14ac:dyDescent="0.25"/>
    <row r="2411" s="13" customFormat="1" ht="18" customHeight="1" x14ac:dyDescent="0.25"/>
    <row r="2412" s="13" customFormat="1" ht="18" customHeight="1" x14ac:dyDescent="0.25"/>
    <row r="2413" s="13" customFormat="1" ht="18" customHeight="1" x14ac:dyDescent="0.25"/>
    <row r="2414" s="13" customFormat="1" ht="18" customHeight="1" x14ac:dyDescent="0.25"/>
    <row r="2415" s="13" customFormat="1" ht="18" customHeight="1" x14ac:dyDescent="0.25"/>
    <row r="2416" s="13" customFormat="1" ht="18" customHeight="1" x14ac:dyDescent="0.25"/>
    <row r="2417" s="13" customFormat="1" ht="18" customHeight="1" x14ac:dyDescent="0.25"/>
    <row r="2418" s="13" customFormat="1" ht="18" customHeight="1" x14ac:dyDescent="0.25"/>
    <row r="2419" s="13" customFormat="1" ht="18" customHeight="1" x14ac:dyDescent="0.25"/>
    <row r="2420" s="13" customFormat="1" ht="18" customHeight="1" x14ac:dyDescent="0.25"/>
    <row r="2421" s="13" customFormat="1" ht="18" customHeight="1" x14ac:dyDescent="0.25"/>
    <row r="2422" s="13" customFormat="1" ht="18" customHeight="1" x14ac:dyDescent="0.25"/>
    <row r="2423" s="13" customFormat="1" ht="18" customHeight="1" x14ac:dyDescent="0.25"/>
    <row r="2424" s="13" customFormat="1" ht="18" customHeight="1" x14ac:dyDescent="0.25"/>
    <row r="2425" s="13" customFormat="1" ht="18" customHeight="1" x14ac:dyDescent="0.25"/>
    <row r="2426" s="13" customFormat="1" ht="18" customHeight="1" x14ac:dyDescent="0.25"/>
    <row r="2427" s="13" customFormat="1" ht="18" customHeight="1" x14ac:dyDescent="0.25"/>
    <row r="2428" s="13" customFormat="1" ht="18" customHeight="1" x14ac:dyDescent="0.25"/>
    <row r="2429" s="13" customFormat="1" ht="18" customHeight="1" x14ac:dyDescent="0.25"/>
    <row r="2430" s="13" customFormat="1" ht="18" customHeight="1" x14ac:dyDescent="0.25"/>
    <row r="2431" s="13" customFormat="1" ht="18" customHeight="1" x14ac:dyDescent="0.25"/>
    <row r="2432" s="13" customFormat="1" ht="18" customHeight="1" x14ac:dyDescent="0.25"/>
    <row r="2433" s="13" customFormat="1" ht="18" customHeight="1" x14ac:dyDescent="0.25"/>
    <row r="2434" s="13" customFormat="1" ht="18" customHeight="1" x14ac:dyDescent="0.25"/>
    <row r="2435" s="13" customFormat="1" ht="18" customHeight="1" x14ac:dyDescent="0.25"/>
    <row r="2436" s="13" customFormat="1" ht="18" customHeight="1" x14ac:dyDescent="0.25"/>
    <row r="2437" s="13" customFormat="1" ht="18" customHeight="1" x14ac:dyDescent="0.25"/>
    <row r="2438" s="13" customFormat="1" ht="18" customHeight="1" x14ac:dyDescent="0.25"/>
    <row r="2439" s="13" customFormat="1" ht="18" customHeight="1" x14ac:dyDescent="0.25"/>
    <row r="2440" s="13" customFormat="1" ht="18" customHeight="1" x14ac:dyDescent="0.25"/>
    <row r="2441" s="13" customFormat="1" ht="18" customHeight="1" x14ac:dyDescent="0.25"/>
    <row r="2442" s="13" customFormat="1" ht="18" customHeight="1" x14ac:dyDescent="0.25"/>
    <row r="2443" s="13" customFormat="1" ht="18" customHeight="1" x14ac:dyDescent="0.25"/>
    <row r="2444" s="13" customFormat="1" ht="18" customHeight="1" x14ac:dyDescent="0.25"/>
    <row r="2445" s="13" customFormat="1" ht="18" customHeight="1" x14ac:dyDescent="0.25"/>
    <row r="2446" s="13" customFormat="1" ht="18" customHeight="1" x14ac:dyDescent="0.25"/>
    <row r="2447" s="13" customFormat="1" ht="18" customHeight="1" x14ac:dyDescent="0.25"/>
    <row r="2448" s="13" customFormat="1" ht="18" customHeight="1" x14ac:dyDescent="0.25"/>
    <row r="2449" s="13" customFormat="1" ht="18" customHeight="1" x14ac:dyDescent="0.25"/>
    <row r="2450" s="13" customFormat="1" ht="18" customHeight="1" x14ac:dyDescent="0.25"/>
    <row r="2451" s="13" customFormat="1" ht="18" customHeight="1" x14ac:dyDescent="0.25"/>
    <row r="2452" s="13" customFormat="1" ht="18" customHeight="1" x14ac:dyDescent="0.25"/>
    <row r="2453" s="13" customFormat="1" ht="18" customHeight="1" x14ac:dyDescent="0.25"/>
    <row r="2454" s="13" customFormat="1" ht="18" customHeight="1" x14ac:dyDescent="0.25"/>
    <row r="2455" s="13" customFormat="1" ht="18" customHeight="1" x14ac:dyDescent="0.25"/>
    <row r="2456" s="13" customFormat="1" ht="18" customHeight="1" x14ac:dyDescent="0.25"/>
    <row r="2457" s="13" customFormat="1" ht="18" customHeight="1" x14ac:dyDescent="0.25"/>
    <row r="2458" s="13" customFormat="1" ht="18" customHeight="1" x14ac:dyDescent="0.25"/>
    <row r="2459" s="13" customFormat="1" ht="18" customHeight="1" x14ac:dyDescent="0.25"/>
    <row r="2460" s="13" customFormat="1" ht="18" customHeight="1" x14ac:dyDescent="0.25"/>
    <row r="2461" s="13" customFormat="1" ht="18" customHeight="1" x14ac:dyDescent="0.25"/>
    <row r="2462" s="13" customFormat="1" ht="18" customHeight="1" x14ac:dyDescent="0.25"/>
    <row r="2463" s="13" customFormat="1" ht="18" customHeight="1" x14ac:dyDescent="0.25"/>
    <row r="2464" s="13" customFormat="1" ht="18" customHeight="1" x14ac:dyDescent="0.25"/>
    <row r="2465" s="13" customFormat="1" ht="18" customHeight="1" x14ac:dyDescent="0.25"/>
    <row r="2466" s="13" customFormat="1" ht="18" customHeight="1" x14ac:dyDescent="0.25"/>
    <row r="2467" s="13" customFormat="1" ht="18" customHeight="1" x14ac:dyDescent="0.25"/>
    <row r="2468" s="13" customFormat="1" ht="18" customHeight="1" x14ac:dyDescent="0.25"/>
    <row r="2469" s="13" customFormat="1" ht="18" customHeight="1" x14ac:dyDescent="0.25"/>
    <row r="2470" s="13" customFormat="1" ht="18" customHeight="1" x14ac:dyDescent="0.25"/>
    <row r="2471" s="13" customFormat="1" ht="18" customHeight="1" x14ac:dyDescent="0.25"/>
    <row r="2472" s="13" customFormat="1" ht="18" customHeight="1" x14ac:dyDescent="0.25"/>
    <row r="2473" s="13" customFormat="1" ht="18" customHeight="1" x14ac:dyDescent="0.25"/>
    <row r="2474" s="13" customFormat="1" ht="18" customHeight="1" x14ac:dyDescent="0.25"/>
    <row r="2475" s="13" customFormat="1" ht="18" customHeight="1" x14ac:dyDescent="0.25"/>
    <row r="2476" s="13" customFormat="1" ht="18" customHeight="1" x14ac:dyDescent="0.25"/>
    <row r="2477" s="13" customFormat="1" ht="18" customHeight="1" x14ac:dyDescent="0.25"/>
    <row r="2478" s="13" customFormat="1" ht="18" customHeight="1" x14ac:dyDescent="0.25"/>
    <row r="2479" s="13" customFormat="1" ht="18" customHeight="1" x14ac:dyDescent="0.25"/>
    <row r="2480" s="13" customFormat="1" ht="18" customHeight="1" x14ac:dyDescent="0.25"/>
    <row r="2481" s="13" customFormat="1" ht="18" customHeight="1" x14ac:dyDescent="0.25"/>
    <row r="2482" s="13" customFormat="1" ht="18" customHeight="1" x14ac:dyDescent="0.25"/>
    <row r="2483" s="13" customFormat="1" ht="18" customHeight="1" x14ac:dyDescent="0.25"/>
    <row r="2484" s="13" customFormat="1" ht="18" customHeight="1" x14ac:dyDescent="0.25"/>
    <row r="2485" s="13" customFormat="1" ht="18" customHeight="1" x14ac:dyDescent="0.25"/>
    <row r="2486" s="13" customFormat="1" ht="18" customHeight="1" x14ac:dyDescent="0.25"/>
    <row r="2487" s="13" customFormat="1" ht="18" customHeight="1" x14ac:dyDescent="0.25"/>
    <row r="2488" s="13" customFormat="1" ht="18" customHeight="1" x14ac:dyDescent="0.25"/>
    <row r="2489" s="13" customFormat="1" ht="18" customHeight="1" x14ac:dyDescent="0.25"/>
    <row r="2490" s="13" customFormat="1" ht="18" customHeight="1" x14ac:dyDescent="0.25"/>
    <row r="2491" s="13" customFormat="1" ht="18" customHeight="1" x14ac:dyDescent="0.25"/>
    <row r="2492" s="13" customFormat="1" ht="18" customHeight="1" x14ac:dyDescent="0.25"/>
    <row r="2493" s="13" customFormat="1" ht="18" customHeight="1" x14ac:dyDescent="0.25"/>
    <row r="2494" s="13" customFormat="1" ht="18" customHeight="1" x14ac:dyDescent="0.25"/>
    <row r="2495" s="13" customFormat="1" ht="18" customHeight="1" x14ac:dyDescent="0.25"/>
    <row r="2496" s="13" customFormat="1" ht="18" customHeight="1" x14ac:dyDescent="0.25"/>
    <row r="2497" s="13" customFormat="1" ht="18" customHeight="1" x14ac:dyDescent="0.25"/>
    <row r="2498" s="13" customFormat="1" ht="18" customHeight="1" x14ac:dyDescent="0.25"/>
    <row r="2499" s="13" customFormat="1" ht="18" customHeight="1" x14ac:dyDescent="0.25"/>
    <row r="2500" s="13" customFormat="1" ht="18" customHeight="1" x14ac:dyDescent="0.25"/>
    <row r="2501" s="13" customFormat="1" ht="18" customHeight="1" x14ac:dyDescent="0.25"/>
    <row r="2502" s="13" customFormat="1" ht="18" customHeight="1" x14ac:dyDescent="0.25"/>
    <row r="2503" s="13" customFormat="1" ht="18" customHeight="1" x14ac:dyDescent="0.25"/>
    <row r="2504" s="13" customFormat="1" ht="18" customHeight="1" x14ac:dyDescent="0.25"/>
    <row r="2505" s="13" customFormat="1" ht="18" customHeight="1" x14ac:dyDescent="0.25"/>
    <row r="2506" s="13" customFormat="1" ht="18" customHeight="1" x14ac:dyDescent="0.25"/>
    <row r="2507" s="13" customFormat="1" ht="18" customHeight="1" x14ac:dyDescent="0.25"/>
    <row r="2508" s="13" customFormat="1" ht="18" customHeight="1" x14ac:dyDescent="0.25"/>
    <row r="2509" s="13" customFormat="1" ht="18" customHeight="1" x14ac:dyDescent="0.25"/>
    <row r="2510" s="13" customFormat="1" ht="18" customHeight="1" x14ac:dyDescent="0.25"/>
    <row r="2511" s="13" customFormat="1" ht="18" customHeight="1" x14ac:dyDescent="0.25"/>
    <row r="2512" s="13" customFormat="1" ht="18" customHeight="1" x14ac:dyDescent="0.25"/>
    <row r="2513" s="13" customFormat="1" ht="18" customHeight="1" x14ac:dyDescent="0.25"/>
    <row r="2514" s="13" customFormat="1" ht="18" customHeight="1" x14ac:dyDescent="0.25"/>
    <row r="2515" s="13" customFormat="1" ht="18" customHeight="1" x14ac:dyDescent="0.25"/>
    <row r="2516" s="13" customFormat="1" ht="18" customHeight="1" x14ac:dyDescent="0.25"/>
    <row r="2517" s="13" customFormat="1" ht="18" customHeight="1" x14ac:dyDescent="0.25"/>
    <row r="2518" s="13" customFormat="1" ht="18" customHeight="1" x14ac:dyDescent="0.25"/>
    <row r="2519" s="13" customFormat="1" ht="18" customHeight="1" x14ac:dyDescent="0.25"/>
    <row r="2520" s="13" customFormat="1" ht="18" customHeight="1" x14ac:dyDescent="0.25"/>
    <row r="2521" s="13" customFormat="1" ht="18" customHeight="1" x14ac:dyDescent="0.25"/>
    <row r="2522" s="13" customFormat="1" ht="18" customHeight="1" x14ac:dyDescent="0.25"/>
    <row r="2523" s="13" customFormat="1" ht="18" customHeight="1" x14ac:dyDescent="0.25"/>
    <row r="2524" s="13" customFormat="1" ht="18" customHeight="1" x14ac:dyDescent="0.25"/>
    <row r="2525" s="13" customFormat="1" ht="18" customHeight="1" x14ac:dyDescent="0.25"/>
    <row r="2526" s="13" customFormat="1" ht="18" customHeight="1" x14ac:dyDescent="0.25"/>
    <row r="2527" s="13" customFormat="1" ht="18" customHeight="1" x14ac:dyDescent="0.25"/>
    <row r="2528" s="13" customFormat="1" ht="18" customHeight="1" x14ac:dyDescent="0.25"/>
    <row r="2529" s="13" customFormat="1" ht="18" customHeight="1" x14ac:dyDescent="0.25"/>
    <row r="2530" s="13" customFormat="1" ht="18" customHeight="1" x14ac:dyDescent="0.25"/>
    <row r="2531" s="13" customFormat="1" ht="18" customHeight="1" x14ac:dyDescent="0.25"/>
    <row r="2532" s="13" customFormat="1" ht="18" customHeight="1" x14ac:dyDescent="0.25"/>
    <row r="2533" s="13" customFormat="1" ht="18" customHeight="1" x14ac:dyDescent="0.25"/>
    <row r="2534" s="13" customFormat="1" ht="18" customHeight="1" x14ac:dyDescent="0.25"/>
    <row r="2535" s="13" customFormat="1" ht="18" customHeight="1" x14ac:dyDescent="0.25"/>
    <row r="2536" s="13" customFormat="1" ht="18" customHeight="1" x14ac:dyDescent="0.25"/>
    <row r="2537" s="13" customFormat="1" ht="18" customHeight="1" x14ac:dyDescent="0.25"/>
    <row r="2538" s="13" customFormat="1" ht="18" customHeight="1" x14ac:dyDescent="0.25"/>
    <row r="2539" s="13" customFormat="1" ht="18" customHeight="1" x14ac:dyDescent="0.25"/>
    <row r="2540" s="13" customFormat="1" ht="18" customHeight="1" x14ac:dyDescent="0.25"/>
    <row r="2541" s="13" customFormat="1" ht="18" customHeight="1" x14ac:dyDescent="0.25"/>
    <row r="2542" s="13" customFormat="1" ht="18" customHeight="1" x14ac:dyDescent="0.25"/>
    <row r="2543" s="13" customFormat="1" ht="18" customHeight="1" x14ac:dyDescent="0.25"/>
    <row r="2544" s="13" customFormat="1" ht="18" customHeight="1" x14ac:dyDescent="0.25"/>
    <row r="2545" s="13" customFormat="1" ht="18" customHeight="1" x14ac:dyDescent="0.25"/>
    <row r="2546" s="13" customFormat="1" ht="18" customHeight="1" x14ac:dyDescent="0.25"/>
    <row r="2547" s="13" customFormat="1" ht="18" customHeight="1" x14ac:dyDescent="0.25"/>
    <row r="2548" s="13" customFormat="1" ht="18" customHeight="1" x14ac:dyDescent="0.25"/>
    <row r="2549" s="13" customFormat="1" ht="18" customHeight="1" x14ac:dyDescent="0.25"/>
    <row r="2550" s="13" customFormat="1" ht="18" customHeight="1" x14ac:dyDescent="0.25"/>
    <row r="2551" s="13" customFormat="1" ht="18" customHeight="1" x14ac:dyDescent="0.25"/>
    <row r="2552" s="13" customFormat="1" ht="18" customHeight="1" x14ac:dyDescent="0.25"/>
    <row r="2553" s="13" customFormat="1" ht="18" customHeight="1" x14ac:dyDescent="0.25"/>
    <row r="2554" s="13" customFormat="1" ht="18" customHeight="1" x14ac:dyDescent="0.25"/>
    <row r="2555" s="13" customFormat="1" ht="18" customHeight="1" x14ac:dyDescent="0.25"/>
    <row r="2556" s="13" customFormat="1" ht="18" customHeight="1" x14ac:dyDescent="0.25"/>
    <row r="2557" s="13" customFormat="1" ht="18" customHeight="1" x14ac:dyDescent="0.25"/>
    <row r="2558" s="13" customFormat="1" ht="18" customHeight="1" x14ac:dyDescent="0.25"/>
    <row r="2559" s="13" customFormat="1" ht="18" customHeight="1" x14ac:dyDescent="0.25"/>
    <row r="2560" s="13" customFormat="1" ht="18" customHeight="1" x14ac:dyDescent="0.25"/>
    <row r="2561" s="13" customFormat="1" ht="18" customHeight="1" x14ac:dyDescent="0.25"/>
    <row r="2562" s="13" customFormat="1" ht="18" customHeight="1" x14ac:dyDescent="0.25"/>
    <row r="2563" s="13" customFormat="1" ht="18" customHeight="1" x14ac:dyDescent="0.25"/>
    <row r="2564" s="13" customFormat="1" ht="18" customHeight="1" x14ac:dyDescent="0.25"/>
    <row r="2565" s="13" customFormat="1" ht="18" customHeight="1" x14ac:dyDescent="0.25"/>
    <row r="2566" s="13" customFormat="1" ht="18" customHeight="1" x14ac:dyDescent="0.25"/>
    <row r="2567" s="13" customFormat="1" ht="18" customHeight="1" x14ac:dyDescent="0.25"/>
    <row r="2568" s="13" customFormat="1" ht="18" customHeight="1" x14ac:dyDescent="0.25"/>
    <row r="2569" s="13" customFormat="1" ht="18" customHeight="1" x14ac:dyDescent="0.25"/>
    <row r="2570" s="13" customFormat="1" ht="18" customHeight="1" x14ac:dyDescent="0.25"/>
    <row r="2571" s="13" customFormat="1" ht="18" customHeight="1" x14ac:dyDescent="0.25"/>
    <row r="2572" s="13" customFormat="1" ht="18" customHeight="1" x14ac:dyDescent="0.25"/>
    <row r="2573" s="13" customFormat="1" ht="18" customHeight="1" x14ac:dyDescent="0.25"/>
    <row r="2574" s="13" customFormat="1" ht="18" customHeight="1" x14ac:dyDescent="0.25"/>
    <row r="2575" s="13" customFormat="1" ht="18" customHeight="1" x14ac:dyDescent="0.25"/>
    <row r="2576" s="13" customFormat="1" ht="18" customHeight="1" x14ac:dyDescent="0.25"/>
    <row r="2577" s="13" customFormat="1" ht="18" customHeight="1" x14ac:dyDescent="0.25"/>
    <row r="2578" s="13" customFormat="1" ht="18" customHeight="1" x14ac:dyDescent="0.25"/>
    <row r="2579" s="13" customFormat="1" ht="18" customHeight="1" x14ac:dyDescent="0.25"/>
    <row r="2580" s="13" customFormat="1" ht="18" customHeight="1" x14ac:dyDescent="0.25"/>
    <row r="2581" s="13" customFormat="1" ht="18" customHeight="1" x14ac:dyDescent="0.25"/>
    <row r="2582" s="13" customFormat="1" ht="18" customHeight="1" x14ac:dyDescent="0.25"/>
    <row r="2583" s="13" customFormat="1" ht="18" customHeight="1" x14ac:dyDescent="0.25"/>
    <row r="2584" s="13" customFormat="1" ht="18" customHeight="1" x14ac:dyDescent="0.25"/>
    <row r="2585" s="13" customFormat="1" ht="18" customHeight="1" x14ac:dyDescent="0.25"/>
    <row r="2586" s="13" customFormat="1" ht="18" customHeight="1" x14ac:dyDescent="0.25"/>
    <row r="2587" s="13" customFormat="1" ht="18" customHeight="1" x14ac:dyDescent="0.25"/>
    <row r="2588" s="13" customFormat="1" ht="18" customHeight="1" x14ac:dyDescent="0.25"/>
    <row r="2589" s="13" customFormat="1" ht="18" customHeight="1" x14ac:dyDescent="0.25"/>
    <row r="2590" s="13" customFormat="1" ht="18" customHeight="1" x14ac:dyDescent="0.25"/>
    <row r="2591" s="13" customFormat="1" ht="18" customHeight="1" x14ac:dyDescent="0.25"/>
    <row r="2592" s="13" customFormat="1" ht="18" customHeight="1" x14ac:dyDescent="0.25"/>
    <row r="2593" s="13" customFormat="1" ht="18" customHeight="1" x14ac:dyDescent="0.25"/>
    <row r="2594" s="13" customFormat="1" ht="18" customHeight="1" x14ac:dyDescent="0.25"/>
    <row r="2595" s="13" customFormat="1" ht="18" customHeight="1" x14ac:dyDescent="0.25"/>
    <row r="2596" s="13" customFormat="1" ht="18" customHeight="1" x14ac:dyDescent="0.25"/>
    <row r="2597" s="13" customFormat="1" ht="18" customHeight="1" x14ac:dyDescent="0.25"/>
    <row r="2598" s="13" customFormat="1" ht="18" customHeight="1" x14ac:dyDescent="0.25"/>
    <row r="2599" s="13" customFormat="1" ht="18" customHeight="1" x14ac:dyDescent="0.25"/>
    <row r="2600" s="13" customFormat="1" ht="18" customHeight="1" x14ac:dyDescent="0.25"/>
    <row r="2601" s="13" customFormat="1" ht="18" customHeight="1" x14ac:dyDescent="0.25"/>
    <row r="2602" s="13" customFormat="1" ht="18" customHeight="1" x14ac:dyDescent="0.25"/>
    <row r="2603" s="13" customFormat="1" ht="18" customHeight="1" x14ac:dyDescent="0.25"/>
    <row r="2604" s="13" customFormat="1" ht="18" customHeight="1" x14ac:dyDescent="0.25"/>
    <row r="2605" s="13" customFormat="1" ht="18" customHeight="1" x14ac:dyDescent="0.25"/>
    <row r="2606" s="13" customFormat="1" ht="18" customHeight="1" x14ac:dyDescent="0.25"/>
    <row r="2607" s="13" customFormat="1" ht="18" customHeight="1" x14ac:dyDescent="0.25"/>
    <row r="2608" s="13" customFormat="1" ht="18" customHeight="1" x14ac:dyDescent="0.25"/>
    <row r="2609" s="13" customFormat="1" ht="18" customHeight="1" x14ac:dyDescent="0.25"/>
    <row r="2610" s="13" customFormat="1" ht="18" customHeight="1" x14ac:dyDescent="0.25"/>
    <row r="2611" s="13" customFormat="1" ht="18" customHeight="1" x14ac:dyDescent="0.25"/>
    <row r="2612" s="13" customFormat="1" ht="18" customHeight="1" x14ac:dyDescent="0.25"/>
    <row r="2613" s="13" customFormat="1" ht="18" customHeight="1" x14ac:dyDescent="0.25"/>
    <row r="2614" s="13" customFormat="1" ht="18" customHeight="1" x14ac:dyDescent="0.25"/>
    <row r="2615" s="13" customFormat="1" ht="18" customHeight="1" x14ac:dyDescent="0.25"/>
    <row r="2616" s="13" customFormat="1" ht="18" customHeight="1" x14ac:dyDescent="0.25"/>
    <row r="2617" s="13" customFormat="1" ht="18" customHeight="1" x14ac:dyDescent="0.25"/>
    <row r="2618" s="13" customFormat="1" ht="18" customHeight="1" x14ac:dyDescent="0.25"/>
    <row r="2619" s="13" customFormat="1" ht="18" customHeight="1" x14ac:dyDescent="0.25"/>
    <row r="2620" s="13" customFormat="1" ht="18" customHeight="1" x14ac:dyDescent="0.25"/>
    <row r="2621" s="13" customFormat="1" ht="18" customHeight="1" x14ac:dyDescent="0.25"/>
    <row r="2622" s="13" customFormat="1" ht="18" customHeight="1" x14ac:dyDescent="0.25"/>
    <row r="2623" s="13" customFormat="1" ht="18" customHeight="1" x14ac:dyDescent="0.25"/>
    <row r="2624" s="13" customFormat="1" ht="18" customHeight="1" x14ac:dyDescent="0.25"/>
    <row r="2625" s="13" customFormat="1" ht="18" customHeight="1" x14ac:dyDescent="0.25"/>
    <row r="2626" s="13" customFormat="1" ht="18" customHeight="1" x14ac:dyDescent="0.25"/>
    <row r="2627" s="13" customFormat="1" ht="18" customHeight="1" x14ac:dyDescent="0.25"/>
    <row r="2628" s="13" customFormat="1" ht="18" customHeight="1" x14ac:dyDescent="0.25"/>
    <row r="2629" s="13" customFormat="1" ht="18" customHeight="1" x14ac:dyDescent="0.25"/>
    <row r="2630" s="13" customFormat="1" ht="18" customHeight="1" x14ac:dyDescent="0.25"/>
    <row r="2631" s="13" customFormat="1" ht="18" customHeight="1" x14ac:dyDescent="0.25"/>
    <row r="2632" s="13" customFormat="1" ht="18" customHeight="1" x14ac:dyDescent="0.25"/>
    <row r="2633" s="13" customFormat="1" ht="18" customHeight="1" x14ac:dyDescent="0.25"/>
    <row r="2634" s="13" customFormat="1" ht="18" customHeight="1" x14ac:dyDescent="0.25"/>
    <row r="2635" s="13" customFormat="1" ht="18" customHeight="1" x14ac:dyDescent="0.25"/>
    <row r="2636" s="13" customFormat="1" ht="18" customHeight="1" x14ac:dyDescent="0.25"/>
    <row r="2637" s="13" customFormat="1" ht="18" customHeight="1" x14ac:dyDescent="0.25"/>
    <row r="2638" s="13" customFormat="1" ht="18" customHeight="1" x14ac:dyDescent="0.25"/>
    <row r="2639" s="13" customFormat="1" ht="18" customHeight="1" x14ac:dyDescent="0.25"/>
    <row r="2640" s="13" customFormat="1" ht="18" customHeight="1" x14ac:dyDescent="0.25"/>
    <row r="2641" s="13" customFormat="1" ht="18" customHeight="1" x14ac:dyDescent="0.25"/>
    <row r="2642" s="13" customFormat="1" ht="18" customHeight="1" x14ac:dyDescent="0.25"/>
    <row r="2643" s="13" customFormat="1" ht="18" customHeight="1" x14ac:dyDescent="0.25"/>
    <row r="2644" s="13" customFormat="1" ht="18" customHeight="1" x14ac:dyDescent="0.25"/>
    <row r="2645" s="13" customFormat="1" ht="18" customHeight="1" x14ac:dyDescent="0.25"/>
    <row r="2646" s="13" customFormat="1" ht="18" customHeight="1" x14ac:dyDescent="0.25"/>
    <row r="2647" s="13" customFormat="1" ht="18" customHeight="1" x14ac:dyDescent="0.25"/>
    <row r="2648" s="13" customFormat="1" ht="18" customHeight="1" x14ac:dyDescent="0.25"/>
    <row r="2649" s="13" customFormat="1" ht="18" customHeight="1" x14ac:dyDescent="0.25"/>
    <row r="2650" s="13" customFormat="1" ht="18" customHeight="1" x14ac:dyDescent="0.25"/>
    <row r="2651" s="13" customFormat="1" ht="18" customHeight="1" x14ac:dyDescent="0.25"/>
    <row r="2652" s="13" customFormat="1" ht="18" customHeight="1" x14ac:dyDescent="0.25"/>
    <row r="2653" s="13" customFormat="1" ht="18" customHeight="1" x14ac:dyDescent="0.25"/>
    <row r="2654" s="13" customFormat="1" ht="18" customHeight="1" x14ac:dyDescent="0.25"/>
    <row r="2655" s="13" customFormat="1" ht="18" customHeight="1" x14ac:dyDescent="0.25"/>
    <row r="2656" s="13" customFormat="1" ht="18" customHeight="1" x14ac:dyDescent="0.25"/>
    <row r="2657" s="13" customFormat="1" ht="18" customHeight="1" x14ac:dyDescent="0.25"/>
    <row r="2658" s="13" customFormat="1" ht="18" customHeight="1" x14ac:dyDescent="0.25"/>
    <row r="2659" s="13" customFormat="1" ht="18" customHeight="1" x14ac:dyDescent="0.25"/>
    <row r="2660" s="13" customFormat="1" ht="18" customHeight="1" x14ac:dyDescent="0.25"/>
    <row r="2661" s="13" customFormat="1" ht="18" customHeight="1" x14ac:dyDescent="0.25"/>
    <row r="2662" s="13" customFormat="1" ht="18" customHeight="1" x14ac:dyDescent="0.25"/>
    <row r="2663" s="13" customFormat="1" ht="18" customHeight="1" x14ac:dyDescent="0.25"/>
    <row r="2664" s="13" customFormat="1" ht="18" customHeight="1" x14ac:dyDescent="0.25"/>
    <row r="2665" s="13" customFormat="1" ht="18" customHeight="1" x14ac:dyDescent="0.25"/>
    <row r="2666" s="13" customFormat="1" ht="18" customHeight="1" x14ac:dyDescent="0.25"/>
    <row r="2667" s="13" customFormat="1" ht="18" customHeight="1" x14ac:dyDescent="0.25"/>
    <row r="2668" s="13" customFormat="1" ht="18" customHeight="1" x14ac:dyDescent="0.25"/>
    <row r="2669" s="13" customFormat="1" ht="18" customHeight="1" x14ac:dyDescent="0.25"/>
    <row r="2670" s="13" customFormat="1" ht="18" customHeight="1" x14ac:dyDescent="0.25"/>
    <row r="2671" s="13" customFormat="1" ht="18" customHeight="1" x14ac:dyDescent="0.25"/>
    <row r="2672" s="13" customFormat="1" ht="18" customHeight="1" x14ac:dyDescent="0.25"/>
    <row r="2673" s="13" customFormat="1" ht="18" customHeight="1" x14ac:dyDescent="0.25"/>
    <row r="2674" s="13" customFormat="1" ht="18" customHeight="1" x14ac:dyDescent="0.25"/>
    <row r="2675" s="13" customFormat="1" ht="18" customHeight="1" x14ac:dyDescent="0.25"/>
    <row r="2676" s="13" customFormat="1" ht="18" customHeight="1" x14ac:dyDescent="0.25"/>
    <row r="2677" s="13" customFormat="1" ht="18" customHeight="1" x14ac:dyDescent="0.25"/>
    <row r="2678" s="13" customFormat="1" ht="18" customHeight="1" x14ac:dyDescent="0.25"/>
    <row r="2679" s="13" customFormat="1" ht="18" customHeight="1" x14ac:dyDescent="0.25"/>
    <row r="2680" s="13" customFormat="1" ht="18" customHeight="1" x14ac:dyDescent="0.25"/>
    <row r="2681" s="13" customFormat="1" ht="18" customHeight="1" x14ac:dyDescent="0.25"/>
    <row r="2682" s="13" customFormat="1" ht="18" customHeight="1" x14ac:dyDescent="0.25"/>
    <row r="2683" s="13" customFormat="1" ht="18" customHeight="1" x14ac:dyDescent="0.25"/>
    <row r="2684" s="13" customFormat="1" ht="18" customHeight="1" x14ac:dyDescent="0.25"/>
    <row r="2685" s="13" customFormat="1" ht="18" customHeight="1" x14ac:dyDescent="0.25"/>
    <row r="2686" s="13" customFormat="1" ht="18" customHeight="1" x14ac:dyDescent="0.25"/>
    <row r="2687" s="13" customFormat="1" ht="18" customHeight="1" x14ac:dyDescent="0.25"/>
    <row r="2688" s="13" customFormat="1" ht="18" customHeight="1" x14ac:dyDescent="0.25"/>
    <row r="2689" s="13" customFormat="1" ht="18" customHeight="1" x14ac:dyDescent="0.25"/>
    <row r="2690" s="13" customFormat="1" ht="18" customHeight="1" x14ac:dyDescent="0.25"/>
    <row r="2691" s="13" customFormat="1" ht="18" customHeight="1" x14ac:dyDescent="0.25"/>
    <row r="2692" s="13" customFormat="1" ht="18" customHeight="1" x14ac:dyDescent="0.25"/>
    <row r="2693" s="13" customFormat="1" ht="18" customHeight="1" x14ac:dyDescent="0.25"/>
    <row r="2694" s="13" customFormat="1" ht="18" customHeight="1" x14ac:dyDescent="0.25"/>
    <row r="2695" s="13" customFormat="1" ht="18" customHeight="1" x14ac:dyDescent="0.25"/>
    <row r="2696" s="13" customFormat="1" ht="18" customHeight="1" x14ac:dyDescent="0.25"/>
    <row r="2697" s="13" customFormat="1" ht="18" customHeight="1" x14ac:dyDescent="0.25"/>
    <row r="2698" s="13" customFormat="1" ht="18" customHeight="1" x14ac:dyDescent="0.25"/>
    <row r="2699" s="13" customFormat="1" ht="18" customHeight="1" x14ac:dyDescent="0.25"/>
    <row r="2700" s="13" customFormat="1" ht="18" customHeight="1" x14ac:dyDescent="0.25"/>
    <row r="2701" s="13" customFormat="1" ht="18" customHeight="1" x14ac:dyDescent="0.25"/>
    <row r="2702" s="13" customFormat="1" ht="18" customHeight="1" x14ac:dyDescent="0.25"/>
    <row r="2703" s="13" customFormat="1" ht="18" customHeight="1" x14ac:dyDescent="0.25"/>
    <row r="2704" s="13" customFormat="1" ht="18" customHeight="1" x14ac:dyDescent="0.25"/>
    <row r="2705" s="13" customFormat="1" ht="18" customHeight="1" x14ac:dyDescent="0.25"/>
    <row r="2706" s="13" customFormat="1" ht="18" customHeight="1" x14ac:dyDescent="0.25"/>
    <row r="2707" s="13" customFormat="1" ht="18" customHeight="1" x14ac:dyDescent="0.25"/>
    <row r="2708" s="13" customFormat="1" ht="18" customHeight="1" x14ac:dyDescent="0.25"/>
    <row r="2709" s="13" customFormat="1" ht="18" customHeight="1" x14ac:dyDescent="0.25"/>
    <row r="2710" s="13" customFormat="1" ht="18" customHeight="1" x14ac:dyDescent="0.25"/>
    <row r="2711" s="13" customFormat="1" ht="18" customHeight="1" x14ac:dyDescent="0.25"/>
    <row r="2712" s="13" customFormat="1" ht="18" customHeight="1" x14ac:dyDescent="0.25"/>
    <row r="2713" s="13" customFormat="1" ht="18" customHeight="1" x14ac:dyDescent="0.25"/>
    <row r="2714" s="13" customFormat="1" ht="18" customHeight="1" x14ac:dyDescent="0.25"/>
    <row r="2715" s="13" customFormat="1" ht="18" customHeight="1" x14ac:dyDescent="0.25"/>
    <row r="2716" s="13" customFormat="1" ht="18" customHeight="1" x14ac:dyDescent="0.25"/>
    <row r="2717" s="13" customFormat="1" ht="18" customHeight="1" x14ac:dyDescent="0.25"/>
    <row r="2718" s="13" customFormat="1" ht="18" customHeight="1" x14ac:dyDescent="0.25"/>
    <row r="2719" s="13" customFormat="1" ht="18" customHeight="1" x14ac:dyDescent="0.25"/>
    <row r="2720" s="13" customFormat="1" ht="18" customHeight="1" x14ac:dyDescent="0.25"/>
    <row r="2721" s="13" customFormat="1" ht="18" customHeight="1" x14ac:dyDescent="0.25"/>
    <row r="2722" s="13" customFormat="1" ht="18" customHeight="1" x14ac:dyDescent="0.25"/>
    <row r="2723" s="13" customFormat="1" ht="18" customHeight="1" x14ac:dyDescent="0.25"/>
    <row r="2724" s="13" customFormat="1" ht="18" customHeight="1" x14ac:dyDescent="0.25"/>
    <row r="2725" s="13" customFormat="1" ht="18" customHeight="1" x14ac:dyDescent="0.25"/>
    <row r="2726" s="13" customFormat="1" ht="18" customHeight="1" x14ac:dyDescent="0.25"/>
    <row r="2727" s="13" customFormat="1" ht="18" customHeight="1" x14ac:dyDescent="0.25"/>
    <row r="2728" s="13" customFormat="1" ht="18" customHeight="1" x14ac:dyDescent="0.25"/>
    <row r="2729" s="13" customFormat="1" ht="18" customHeight="1" x14ac:dyDescent="0.25"/>
    <row r="2730" s="13" customFormat="1" ht="18" customHeight="1" x14ac:dyDescent="0.25"/>
    <row r="2731" s="13" customFormat="1" ht="18" customHeight="1" x14ac:dyDescent="0.25"/>
    <row r="2732" s="13" customFormat="1" ht="18" customHeight="1" x14ac:dyDescent="0.25"/>
    <row r="2733" s="13" customFormat="1" ht="18" customHeight="1" x14ac:dyDescent="0.25"/>
    <row r="2734" s="13" customFormat="1" ht="18" customHeight="1" x14ac:dyDescent="0.25"/>
    <row r="2735" s="13" customFormat="1" ht="18" customHeight="1" x14ac:dyDescent="0.25"/>
    <row r="2736" s="13" customFormat="1" ht="18" customHeight="1" x14ac:dyDescent="0.25"/>
    <row r="2737" s="13" customFormat="1" ht="18" customHeight="1" x14ac:dyDescent="0.25"/>
    <row r="2738" s="13" customFormat="1" ht="18" customHeight="1" x14ac:dyDescent="0.25"/>
    <row r="2739" s="13" customFormat="1" ht="18" customHeight="1" x14ac:dyDescent="0.25"/>
    <row r="2740" s="13" customFormat="1" ht="18" customHeight="1" x14ac:dyDescent="0.25"/>
    <row r="2741" s="13" customFormat="1" ht="18" customHeight="1" x14ac:dyDescent="0.25"/>
    <row r="2742" s="13" customFormat="1" ht="18" customHeight="1" x14ac:dyDescent="0.25"/>
    <row r="2743" s="13" customFormat="1" ht="18" customHeight="1" x14ac:dyDescent="0.25"/>
    <row r="2744" s="13" customFormat="1" ht="18" customHeight="1" x14ac:dyDescent="0.25"/>
    <row r="2745" s="13" customFormat="1" ht="18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PRESENTATION</vt:lpstr>
      <vt:lpstr>Reactions (2)</vt:lpstr>
      <vt:lpstr>Backup</vt:lpstr>
      <vt:lpstr>Reactions</vt:lpstr>
      <vt:lpstr>Sheet1</vt:lpstr>
      <vt:lpstr>References</vt:lpstr>
      <vt:lpstr>Sheet2</vt:lpstr>
      <vt:lpstr>NodesDischarge</vt:lpstr>
      <vt:lpstr>EdgesDischarge</vt:lpstr>
      <vt:lpstr>EdgesChemical</vt:lpstr>
      <vt:lpstr>NodesChemical</vt:lpstr>
      <vt:lpstr>PRESENTATION!Ee</vt:lpstr>
      <vt:lpstr>Reactions!Ee</vt:lpstr>
      <vt:lpstr>'Reactions (2)'!Ee</vt:lpstr>
      <vt:lpstr>PRESENTATION!NM</vt:lpstr>
      <vt:lpstr>Reactions!NM</vt:lpstr>
      <vt:lpstr>'Reactions (2)'!NM</vt:lpstr>
      <vt:lpstr>PRESENTATION!Te</vt:lpstr>
      <vt:lpstr>Reactions!Te</vt:lpstr>
      <vt:lpstr>'Reactions (2)'!Te</vt:lpstr>
      <vt:lpstr>Teff</vt:lpstr>
      <vt:lpstr>PRESENTATION!Tg</vt:lpstr>
      <vt:lpstr>'Reactions (2)'!Tg</vt:lpstr>
      <vt:lpstr>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Sofronov</dc:creator>
  <cp:lastModifiedBy>Alexey Sofronov</cp:lastModifiedBy>
  <dcterms:created xsi:type="dcterms:W3CDTF">2019-08-22T21:14:44Z</dcterms:created>
  <dcterms:modified xsi:type="dcterms:W3CDTF">2025-02-10T23:17:14Z</dcterms:modified>
</cp:coreProperties>
</file>