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$\Ubuntu\home\minstrel\kinetika\project_demetra\results\20250206\"/>
    </mc:Choice>
  </mc:AlternateContent>
  <xr:revisionPtr revIDLastSave="0" documentId="13_ncr:1_{61AF1BCD-D18D-426B-BFEB-7639DC964B1C}" xr6:coauthVersionLast="47" xr6:coauthVersionMax="47" xr10:uidLastSave="{00000000-0000-0000-0000-000000000000}"/>
  <bookViews>
    <workbookView xWindow="41190" yWindow="3675" windowWidth="28800" windowHeight="15345" firstSheet="1" activeTab="1" xr2:uid="{DA2565EB-2DBB-4544-ABEE-7884703BBC10}"/>
  </bookViews>
  <sheets>
    <sheet name="20250211 (2)" sheetId="5" state="hidden" r:id="rId1"/>
    <sheet name="TEMPLATE" sheetId="6" r:id="rId2"/>
    <sheet name="Sheet1" sheetId="1" r:id="rId3"/>
    <sheet name="20250206" sheetId="2" r:id="rId4"/>
    <sheet name="20250211" sheetId="3" r:id="rId5"/>
    <sheet name="20250219" sheetId="7" r:id="rId6"/>
    <sheet name="Calibration Curve" sheetId="8" r:id="rId7"/>
    <sheet name="Sheet2" sheetId="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5" i="8" l="1"/>
  <c r="B28" i="8"/>
  <c r="B27" i="8"/>
  <c r="B26" i="8"/>
  <c r="B25" i="8"/>
  <c r="D15" i="8"/>
  <c r="B11" i="8" a="1"/>
  <c r="B11" i="8" s="1"/>
  <c r="D8" i="8" l="1"/>
  <c r="B5" i="8"/>
  <c r="D5" i="8" s="1"/>
  <c r="B7" i="8"/>
  <c r="D7" i="8" s="1"/>
  <c r="B6" i="8"/>
  <c r="D6" i="8" s="1"/>
  <c r="B4" i="8"/>
  <c r="D4" i="8" s="1"/>
  <c r="B3" i="8"/>
  <c r="D3" i="8" s="1"/>
  <c r="C38" i="7"/>
  <c r="D3" i="7"/>
  <c r="L53" i="7"/>
  <c r="L47" i="7"/>
  <c r="L38" i="7"/>
  <c r="L46" i="7"/>
  <c r="L28" i="7"/>
  <c r="L42" i="7"/>
  <c r="L43" i="7" s="1"/>
  <c r="L33" i="7"/>
  <c r="L45" i="7" s="1"/>
  <c r="L24" i="7"/>
  <c r="L14" i="7"/>
  <c r="L37" i="7" s="1"/>
  <c r="S7" i="7"/>
  <c r="T7" i="7" s="1"/>
  <c r="S8" i="7"/>
  <c r="T8" i="7" s="1"/>
  <c r="S9" i="7"/>
  <c r="T9" i="7" s="1"/>
  <c r="S10" i="7"/>
  <c r="T10" i="7" s="1"/>
  <c r="S11" i="7"/>
  <c r="T11" i="7" s="1"/>
  <c r="O8" i="7"/>
  <c r="O9" i="7"/>
  <c r="O10" i="7"/>
  <c r="O11" i="7"/>
  <c r="O7" i="7"/>
  <c r="N8" i="7"/>
  <c r="N9" i="7"/>
  <c r="N10" i="7"/>
  <c r="N11" i="7"/>
  <c r="N7" i="7"/>
  <c r="L11" i="7"/>
  <c r="L10" i="7"/>
  <c r="L9" i="7"/>
  <c r="L8" i="7"/>
  <c r="L7" i="7"/>
  <c r="C33" i="7"/>
  <c r="C29" i="7"/>
  <c r="C12" i="7"/>
  <c r="C16" i="7" s="1"/>
  <c r="AC5" i="7"/>
  <c r="E5" i="7"/>
  <c r="F5" i="7" s="1"/>
  <c r="E4" i="7"/>
  <c r="F4" i="7" s="1"/>
  <c r="C38" i="6"/>
  <c r="C33" i="6"/>
  <c r="C29" i="6"/>
  <c r="C12" i="6"/>
  <c r="C16" i="6" s="1"/>
  <c r="V5" i="6"/>
  <c r="E5" i="6"/>
  <c r="F5" i="6" s="1"/>
  <c r="C8" i="6" s="1"/>
  <c r="E4" i="6"/>
  <c r="F4" i="6" s="1"/>
  <c r="C38" i="5"/>
  <c r="C33" i="5"/>
  <c r="C29" i="5"/>
  <c r="C12" i="5"/>
  <c r="C16" i="5" s="1"/>
  <c r="C11" i="5"/>
  <c r="C15" i="5" s="1"/>
  <c r="V5" i="5"/>
  <c r="F5" i="5"/>
  <c r="E5" i="5"/>
  <c r="E4" i="5"/>
  <c r="F4" i="5" s="1"/>
  <c r="D3" i="5"/>
  <c r="G19" i="4"/>
  <c r="G17" i="4"/>
  <c r="F16" i="4"/>
  <c r="C11" i="3"/>
  <c r="C33" i="3"/>
  <c r="C38" i="3"/>
  <c r="D3" i="3"/>
  <c r="C29" i="3"/>
  <c r="C12" i="3"/>
  <c r="C16" i="3" s="1"/>
  <c r="E11" i="3"/>
  <c r="V5" i="3"/>
  <c r="E5" i="3"/>
  <c r="F5" i="3" s="1"/>
  <c r="E4" i="3"/>
  <c r="F4" i="3" s="1"/>
  <c r="C12" i="2"/>
  <c r="C16" i="2" s="1"/>
  <c r="C29" i="2"/>
  <c r="L44" i="7" l="1"/>
  <c r="P11" i="7"/>
  <c r="P10" i="7"/>
  <c r="P9" i="7"/>
  <c r="X9" i="7" s="1"/>
  <c r="P8" i="7"/>
  <c r="X8" i="7" s="1"/>
  <c r="L27" i="7"/>
  <c r="L36" i="7"/>
  <c r="L34" i="7"/>
  <c r="L35" i="7"/>
  <c r="L26" i="7"/>
  <c r="L25" i="7"/>
  <c r="X10" i="7"/>
  <c r="X11" i="7"/>
  <c r="W11" i="7"/>
  <c r="V11" i="7"/>
  <c r="X7" i="7"/>
  <c r="W7" i="7"/>
  <c r="V7" i="7"/>
  <c r="V10" i="7"/>
  <c r="W10" i="7"/>
  <c r="V9" i="7"/>
  <c r="W9" i="7"/>
  <c r="V8" i="7"/>
  <c r="W8" i="7"/>
  <c r="C11" i="7"/>
  <c r="E11" i="7" s="1"/>
  <c r="P7" i="7"/>
  <c r="F6" i="7"/>
  <c r="C8" i="7" s="1"/>
  <c r="C23" i="7" s="1"/>
  <c r="C24" i="7" s="1"/>
  <c r="E24" i="7" s="1"/>
  <c r="C15" i="7"/>
  <c r="C11" i="6"/>
  <c r="C15" i="6" s="1"/>
  <c r="C18" i="6"/>
  <c r="F6" i="5"/>
  <c r="C8" i="5" s="1"/>
  <c r="C18" i="5"/>
  <c r="E11" i="5"/>
  <c r="F6" i="3"/>
  <c r="C8" i="3" s="1"/>
  <c r="C18" i="3" s="1"/>
  <c r="C15" i="3"/>
  <c r="C11" i="2"/>
  <c r="E11" i="2" s="1"/>
  <c r="V5" i="2"/>
  <c r="F4" i="2"/>
  <c r="E8" i="7" l="1"/>
  <c r="C18" i="7"/>
  <c r="L52" i="7"/>
  <c r="L54" i="7"/>
  <c r="L51" i="7"/>
  <c r="C17" i="7"/>
  <c r="C20" i="7" s="1"/>
  <c r="AC4" i="7" s="1"/>
  <c r="E11" i="6"/>
  <c r="C17" i="6"/>
  <c r="C23" i="6"/>
  <c r="C24" i="6" s="1"/>
  <c r="E24" i="6" s="1"/>
  <c r="E8" i="6"/>
  <c r="E8" i="5"/>
  <c r="C23" i="5"/>
  <c r="C24" i="5" s="1"/>
  <c r="E24" i="5" s="1"/>
  <c r="C17" i="5"/>
  <c r="C20" i="5" s="1"/>
  <c r="V4" i="5" s="1"/>
  <c r="C17" i="3"/>
  <c r="C20" i="3" s="1"/>
  <c r="V4" i="3" s="1"/>
  <c r="C23" i="3"/>
  <c r="C24" i="3" s="1"/>
  <c r="E24" i="3" s="1"/>
  <c r="E8" i="3"/>
  <c r="C15" i="2"/>
  <c r="E5" i="2"/>
  <c r="F5" i="2"/>
  <c r="E4" i="2"/>
  <c r="W45" i="1"/>
  <c r="Z54" i="1"/>
  <c r="AA54" i="1"/>
  <c r="AB54" i="1"/>
  <c r="AC54" i="1"/>
  <c r="AD54" i="1"/>
  <c r="AE54" i="1"/>
  <c r="Z55" i="1"/>
  <c r="AA55" i="1" s="1"/>
  <c r="AD55" i="1" s="1"/>
  <c r="AB55" i="1"/>
  <c r="AC55" i="1"/>
  <c r="AE55" i="1"/>
  <c r="Z56" i="1"/>
  <c r="AA56" i="1"/>
  <c r="AB56" i="1"/>
  <c r="AC56" i="1"/>
  <c r="AD56" i="1"/>
  <c r="AE56" i="1"/>
  <c r="Z57" i="1"/>
  <c r="AB57" i="1" s="1"/>
  <c r="AE57" i="1" s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" i="1"/>
  <c r="AB5" i="1"/>
  <c r="AE5" i="1" s="1"/>
  <c r="Z6" i="1"/>
  <c r="AB6" i="1" s="1"/>
  <c r="AE6" i="1" s="1"/>
  <c r="D5" i="1"/>
  <c r="D4" i="1"/>
  <c r="F4" i="1" s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5" i="1"/>
  <c r="W29" i="1"/>
  <c r="W28" i="1"/>
  <c r="U26" i="1"/>
  <c r="V28" i="1" s="1"/>
  <c r="X28" i="1" s="1"/>
  <c r="E5" i="1"/>
  <c r="E4" i="1"/>
  <c r="C14" i="1"/>
  <c r="C20" i="6" l="1"/>
  <c r="V4" i="6" s="1"/>
  <c r="F6" i="2"/>
  <c r="C8" i="2" s="1"/>
  <c r="Z58" i="1"/>
  <c r="AA57" i="1"/>
  <c r="AD57" i="1" s="1"/>
  <c r="F5" i="1"/>
  <c r="V29" i="1"/>
  <c r="X29" i="1" s="1"/>
  <c r="Z7" i="1"/>
  <c r="F6" i="1"/>
  <c r="L50" i="7" l="1"/>
  <c r="L55" i="7" s="1"/>
  <c r="L56" i="7" s="1"/>
  <c r="C18" i="2"/>
  <c r="C23" i="2"/>
  <c r="C24" i="2" s="1"/>
  <c r="E24" i="2" s="1"/>
  <c r="C17" i="2"/>
  <c r="C20" i="2" s="1"/>
  <c r="V4" i="2" s="1"/>
  <c r="E8" i="2"/>
  <c r="AB58" i="1"/>
  <c r="AE58" i="1" s="1"/>
  <c r="AA58" i="1"/>
  <c r="AD58" i="1" s="1"/>
  <c r="Z59" i="1"/>
  <c r="Z8" i="1"/>
  <c r="AB7" i="1"/>
  <c r="AE7" i="1" s="1"/>
  <c r="C8" i="1"/>
  <c r="C15" i="1" l="1"/>
  <c r="C17" i="1" s="1"/>
  <c r="E8" i="1"/>
  <c r="AA59" i="1"/>
  <c r="AD59" i="1" s="1"/>
  <c r="Z60" i="1"/>
  <c r="AB59" i="1"/>
  <c r="AE59" i="1" s="1"/>
  <c r="Z9" i="1"/>
  <c r="AB8" i="1"/>
  <c r="AE8" i="1" s="1"/>
  <c r="C20" i="1"/>
  <c r="C21" i="1" s="1"/>
  <c r="Z61" i="1" l="1"/>
  <c r="AA60" i="1"/>
  <c r="AD60" i="1" s="1"/>
  <c r="AB60" i="1"/>
  <c r="AE60" i="1" s="1"/>
  <c r="Z10" i="1"/>
  <c r="AB9" i="1"/>
  <c r="AE9" i="1" s="1"/>
  <c r="AB61" i="1" l="1"/>
  <c r="AE61" i="1" s="1"/>
  <c r="AA61" i="1"/>
  <c r="AD61" i="1" s="1"/>
  <c r="Z62" i="1"/>
  <c r="Z11" i="1"/>
  <c r="AB10" i="1"/>
  <c r="AE10" i="1" s="1"/>
  <c r="AB62" i="1" l="1"/>
  <c r="AE62" i="1" s="1"/>
  <c r="AA62" i="1"/>
  <c r="AD62" i="1" s="1"/>
  <c r="Z63" i="1"/>
  <c r="Z12" i="1"/>
  <c r="AB11" i="1"/>
  <c r="AE11" i="1" s="1"/>
  <c r="Z64" i="1" l="1"/>
  <c r="AA63" i="1"/>
  <c r="AD63" i="1" s="1"/>
  <c r="AB63" i="1"/>
  <c r="AE63" i="1" s="1"/>
  <c r="Z13" i="1"/>
  <c r="AB12" i="1"/>
  <c r="AE12" i="1" s="1"/>
  <c r="AA64" i="1" l="1"/>
  <c r="AD64" i="1" s="1"/>
  <c r="AB64" i="1"/>
  <c r="AE64" i="1" s="1"/>
  <c r="Z65" i="1"/>
  <c r="Z14" i="1"/>
  <c r="AB13" i="1"/>
  <c r="AE13" i="1" s="1"/>
  <c r="Z66" i="1" l="1"/>
  <c r="AB65" i="1"/>
  <c r="AE65" i="1" s="1"/>
  <c r="AA65" i="1"/>
  <c r="AD65" i="1" s="1"/>
  <c r="Z15" i="1"/>
  <c r="AB14" i="1"/>
  <c r="AE14" i="1" s="1"/>
  <c r="AA66" i="1" l="1"/>
  <c r="AD66" i="1" s="1"/>
  <c r="AB66" i="1"/>
  <c r="AE66" i="1" s="1"/>
  <c r="Z67" i="1"/>
  <c r="Z16" i="1"/>
  <c r="AB15" i="1"/>
  <c r="AE15" i="1" s="1"/>
  <c r="AB67" i="1" l="1"/>
  <c r="AE67" i="1" s="1"/>
  <c r="Z68" i="1"/>
  <c r="AA67" i="1"/>
  <c r="AD67" i="1" s="1"/>
  <c r="Z17" i="1"/>
  <c r="AB16" i="1"/>
  <c r="AE16" i="1" s="1"/>
  <c r="Z69" i="1" l="1"/>
  <c r="AB68" i="1"/>
  <c r="AE68" i="1" s="1"/>
  <c r="AA68" i="1"/>
  <c r="AD68" i="1" s="1"/>
  <c r="Z18" i="1"/>
  <c r="AB17" i="1"/>
  <c r="AE17" i="1" s="1"/>
  <c r="Z70" i="1" l="1"/>
  <c r="AB69" i="1"/>
  <c r="AE69" i="1" s="1"/>
  <c r="AA69" i="1"/>
  <c r="AD69" i="1" s="1"/>
  <c r="Z19" i="1"/>
  <c r="AB18" i="1"/>
  <c r="AE18" i="1" s="1"/>
  <c r="Z71" i="1" l="1"/>
  <c r="AB70" i="1"/>
  <c r="AE70" i="1" s="1"/>
  <c r="AA70" i="1"/>
  <c r="AD70" i="1" s="1"/>
  <c r="Z20" i="1"/>
  <c r="AB19" i="1"/>
  <c r="AE19" i="1" s="1"/>
  <c r="Z72" i="1" l="1"/>
  <c r="AA71" i="1"/>
  <c r="AD71" i="1" s="1"/>
  <c r="AB71" i="1"/>
  <c r="AE71" i="1" s="1"/>
  <c r="Z21" i="1"/>
  <c r="AB20" i="1"/>
  <c r="AE20" i="1" s="1"/>
  <c r="AB72" i="1" l="1"/>
  <c r="AE72" i="1" s="1"/>
  <c r="AA72" i="1"/>
  <c r="AD72" i="1" s="1"/>
  <c r="Z73" i="1"/>
  <c r="Z22" i="1"/>
  <c r="AB21" i="1"/>
  <c r="AE21" i="1" s="1"/>
  <c r="AA73" i="1" l="1"/>
  <c r="AD73" i="1" s="1"/>
  <c r="AB73" i="1"/>
  <c r="AE73" i="1" s="1"/>
  <c r="Z23" i="1"/>
  <c r="AB22" i="1"/>
  <c r="AE22" i="1" s="1"/>
  <c r="Z24" i="1" l="1"/>
  <c r="AB23" i="1"/>
  <c r="AE23" i="1" s="1"/>
  <c r="Z25" i="1" l="1"/>
  <c r="AB24" i="1"/>
  <c r="AE24" i="1" s="1"/>
  <c r="Z26" i="1" l="1"/>
  <c r="AB25" i="1"/>
  <c r="AE25" i="1" s="1"/>
  <c r="Z27" i="1" l="1"/>
  <c r="AB26" i="1"/>
  <c r="AE26" i="1" s="1"/>
  <c r="Z28" i="1" l="1"/>
  <c r="AB27" i="1"/>
  <c r="AE27" i="1" s="1"/>
  <c r="Z29" i="1" l="1"/>
  <c r="AB28" i="1"/>
  <c r="AE28" i="1" s="1"/>
  <c r="Z30" i="1" l="1"/>
  <c r="AB29" i="1"/>
  <c r="AE29" i="1" s="1"/>
  <c r="Z31" i="1" l="1"/>
  <c r="AB30" i="1"/>
  <c r="AE30" i="1" s="1"/>
  <c r="Z32" i="1" l="1"/>
  <c r="AB31" i="1"/>
  <c r="AE31" i="1" s="1"/>
  <c r="Z33" i="1" l="1"/>
  <c r="AB32" i="1"/>
  <c r="AE32" i="1" s="1"/>
  <c r="Z34" i="1" l="1"/>
  <c r="AB33" i="1"/>
  <c r="AE33" i="1" s="1"/>
  <c r="Z35" i="1" l="1"/>
  <c r="AB34" i="1"/>
  <c r="AE34" i="1" s="1"/>
  <c r="Z36" i="1" l="1"/>
  <c r="AB35" i="1"/>
  <c r="AE35" i="1" s="1"/>
  <c r="Z37" i="1" l="1"/>
  <c r="AB36" i="1"/>
  <c r="AE36" i="1" s="1"/>
  <c r="Z38" i="1" l="1"/>
  <c r="AB37" i="1"/>
  <c r="AE37" i="1" s="1"/>
  <c r="Z39" i="1" l="1"/>
  <c r="AB38" i="1"/>
  <c r="AE38" i="1" s="1"/>
  <c r="Z40" i="1" l="1"/>
  <c r="AB39" i="1"/>
  <c r="AE39" i="1" s="1"/>
  <c r="Z41" i="1" l="1"/>
  <c r="AB40" i="1"/>
  <c r="AE40" i="1" s="1"/>
  <c r="Z42" i="1" l="1"/>
  <c r="AB41" i="1"/>
  <c r="AE41" i="1" s="1"/>
  <c r="Z43" i="1" l="1"/>
  <c r="AB42" i="1"/>
  <c r="AE42" i="1" s="1"/>
  <c r="Z44" i="1" l="1"/>
  <c r="AB43" i="1"/>
  <c r="AE43" i="1" s="1"/>
  <c r="Z45" i="1" l="1"/>
  <c r="AB44" i="1"/>
  <c r="AE44" i="1" s="1"/>
  <c r="Z46" i="1" l="1"/>
  <c r="AB45" i="1"/>
  <c r="AE45" i="1" s="1"/>
  <c r="Z47" i="1" l="1"/>
  <c r="AB46" i="1"/>
  <c r="AE46" i="1" s="1"/>
  <c r="Z48" i="1" l="1"/>
  <c r="AB47" i="1"/>
  <c r="AE47" i="1" s="1"/>
  <c r="Z49" i="1" l="1"/>
  <c r="AB48" i="1"/>
  <c r="AE48" i="1" s="1"/>
  <c r="Z50" i="1" l="1"/>
  <c r="AB49" i="1"/>
  <c r="AE49" i="1" s="1"/>
  <c r="Z51" i="1" l="1"/>
  <c r="AB50" i="1"/>
  <c r="AE50" i="1" s="1"/>
  <c r="Z52" i="1" l="1"/>
  <c r="AB51" i="1"/>
  <c r="AE51" i="1" s="1"/>
  <c r="Z53" i="1" l="1"/>
  <c r="AB53" i="1" s="1"/>
  <c r="AE53" i="1" s="1"/>
  <c r="AB52" i="1"/>
  <c r="AE5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<sst xmlns="http://schemas.openxmlformats.org/spreadsheetml/2006/main" count="362" uniqueCount="100">
  <si>
    <t>Nitrit</t>
  </si>
  <si>
    <t>Nitrat</t>
  </si>
  <si>
    <t>ppm</t>
  </si>
  <si>
    <t>Time</t>
  </si>
  <si>
    <t>min</t>
  </si>
  <si>
    <t>Power</t>
  </si>
  <si>
    <t>kW</t>
  </si>
  <si>
    <t>Volume</t>
  </si>
  <si>
    <t>l</t>
  </si>
  <si>
    <t>N</t>
  </si>
  <si>
    <t>kWh/kg</t>
  </si>
  <si>
    <t>USD/kWh</t>
  </si>
  <si>
    <t>Price</t>
  </si>
  <si>
    <t>g</t>
  </si>
  <si>
    <r>
      <t>NO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</si>
  <si>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</si>
  <si>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/N</t>
    </r>
  </si>
  <si>
    <t>mg/L</t>
  </si>
  <si>
    <t>Total</t>
  </si>
  <si>
    <t>kg/day</t>
  </si>
  <si>
    <t>kg/year</t>
  </si>
  <si>
    <t>Prototype Energy Efficiency</t>
  </si>
  <si>
    <t>Prototype Production Capacity</t>
  </si>
  <si>
    <t>Type</t>
  </si>
  <si>
    <t>DBD</t>
  </si>
  <si>
    <t>Energy consuption</t>
  </si>
  <si>
    <t>kWh/cycle</t>
  </si>
  <si>
    <t>NO2-</t>
  </si>
  <si>
    <t>NO3-</t>
  </si>
  <si>
    <t>pH</t>
  </si>
  <si>
    <t>M</t>
  </si>
  <si>
    <t>Basic pH</t>
  </si>
  <si>
    <t>H+</t>
  </si>
  <si>
    <r>
      <rPr>
        <sz val="11"/>
        <color theme="1"/>
        <rFont val="Aptos Narrow"/>
        <family val="2"/>
      </rPr>
      <t>Δ</t>
    </r>
    <r>
      <rPr>
        <sz val="11"/>
        <color theme="1"/>
        <rFont val="Aptos Narrow"/>
        <family val="2"/>
        <scheme val="minor"/>
      </rPr>
      <t>H+</t>
    </r>
  </si>
  <si>
    <t>Current</t>
  </si>
  <si>
    <t>A</t>
  </si>
  <si>
    <t>Voltage</t>
  </si>
  <si>
    <t>V</t>
  </si>
  <si>
    <t>Discharge</t>
  </si>
  <si>
    <t>Pump</t>
  </si>
  <si>
    <t>W</t>
  </si>
  <si>
    <t>USD/kg</t>
  </si>
  <si>
    <t>Current result</t>
  </si>
  <si>
    <t xml:space="preserve">Gaber Bosch </t>
  </si>
  <si>
    <t>USD/kg N</t>
  </si>
  <si>
    <t>kWh/kg [Total]</t>
  </si>
  <si>
    <t>kWh/kg [Discharge]</t>
  </si>
  <si>
    <t>Power [Total]</t>
  </si>
  <si>
    <t>Power [Discharge]</t>
  </si>
  <si>
    <t>Energy consuption [Total]</t>
  </si>
  <si>
    <t>Energy consuption [Discharge]</t>
  </si>
  <si>
    <t xml:space="preserve"> </t>
  </si>
  <si>
    <t>CH₄N₂O</t>
  </si>
  <si>
    <t>Energy Consumption [kWh/kg N]</t>
  </si>
  <si>
    <t>hours</t>
  </si>
  <si>
    <r>
      <t>NO3</t>
    </r>
    <r>
      <rPr>
        <b/>
        <vertAlign val="superscript"/>
        <sz val="11"/>
        <color theme="1"/>
        <rFont val="Aptos Narrow"/>
        <family val="2"/>
        <scheme val="minor"/>
      </rPr>
      <t>-</t>
    </r>
  </si>
  <si>
    <t>Power [W]</t>
  </si>
  <si>
    <t>l/min</t>
  </si>
  <si>
    <t>kg/min</t>
  </si>
  <si>
    <t>kJ/min</t>
  </si>
  <si>
    <t>t</t>
  </si>
  <si>
    <t>kPa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</si>
  <si>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</si>
  <si>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</si>
  <si>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a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</si>
  <si>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v</t>
    </r>
    <r>
      <rPr>
        <vertAlign val="superscript"/>
        <sz val="11"/>
        <color theme="1"/>
        <rFont val="Aptos Narrow"/>
        <family val="2"/>
        <scheme val="minor"/>
      </rPr>
      <t>0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</si>
  <si>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v</t>
    </r>
    <r>
      <rPr>
        <vertAlign val="superscript"/>
        <sz val="11"/>
        <color theme="1"/>
        <rFont val="Aptos Narrow"/>
        <family val="2"/>
        <scheme val="minor"/>
      </rPr>
      <t>1</t>
    </r>
  </si>
  <si>
    <t>Initial</t>
  </si>
  <si>
    <t>Target</t>
  </si>
  <si>
    <r>
      <t>N</t>
    </r>
    <r>
      <rPr>
        <vertAlign val="subscript"/>
        <sz val="11"/>
        <color theme="1"/>
        <rFont val="Aptos Narrow"/>
        <family val="2"/>
        <scheme val="minor"/>
      </rPr>
      <t>a</t>
    </r>
  </si>
  <si>
    <t>R</t>
  </si>
  <si>
    <r>
      <t>N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</si>
  <si>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</si>
  <si>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</si>
  <si>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a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</si>
  <si>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v</t>
    </r>
  </si>
  <si>
    <t>Q</t>
  </si>
  <si>
    <r>
      <t>m</t>
    </r>
    <r>
      <rPr>
        <vertAlign val="super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>/min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</si>
  <si>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/O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</si>
  <si>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theme="1"/>
        <rFont val="Aptos Narrow"/>
        <family val="2"/>
      </rPr>
      <t>ρ</t>
    </r>
    <r>
      <rPr>
        <vertAlign val="subscript"/>
        <sz val="11"/>
        <color theme="1"/>
        <rFont val="Aptos Narrow"/>
        <family val="2"/>
      </rPr>
      <t>a</t>
    </r>
  </si>
  <si>
    <r>
      <t>ρ</t>
    </r>
    <r>
      <rPr>
        <vertAlign val="subscript"/>
        <sz val="11"/>
        <color theme="1"/>
        <rFont val="Aptos Narrow"/>
        <family val="2"/>
      </rPr>
      <t>v</t>
    </r>
  </si>
  <si>
    <r>
      <t>dm 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</si>
  <si>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Energy</t>
  </si>
  <si>
    <t>Heat Air</t>
  </si>
  <si>
    <r>
      <t>C</t>
    </r>
    <r>
      <rPr>
        <vertAlign val="subscript"/>
        <sz val="11"/>
        <color theme="1"/>
        <rFont val="Aptos Narrow"/>
        <family val="2"/>
        <scheme val="minor"/>
      </rPr>
      <t>w</t>
    </r>
  </si>
  <si>
    <t>Heat Vapor</t>
  </si>
  <si>
    <t>Heat Water</t>
  </si>
  <si>
    <t>Vaporate</t>
  </si>
  <si>
    <t>Cool Vapor</t>
  </si>
  <si>
    <t>ml/h</t>
  </si>
  <si>
    <t>E</t>
  </si>
  <si>
    <t>Log [C]</t>
  </si>
  <si>
    <t>Calib</t>
  </si>
  <si>
    <t>Concentration</t>
  </si>
  <si>
    <t>mV</t>
  </si>
  <si>
    <t>С</t>
  </si>
  <si>
    <r>
      <t>C</t>
    </r>
    <r>
      <rPr>
        <vertAlign val="subscript"/>
        <sz val="11"/>
        <color theme="1"/>
        <rFont val="Aptos Narrow"/>
        <family val="2"/>
        <scheme val="minor"/>
      </rPr>
      <t>t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</si>
  <si>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k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</si>
  <si>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t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</si>
  <si>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k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</si>
</sst>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0.0"/>
    <numFmt numFmtId="166" formatCode="0.00000"/>
    <numFmt numFmtId="167" formatCode="#,##0.0"/>
    <numFmt numFmtId="168" formatCode="0.0E+00"/>
    <numFmt numFmtId="169" formatCode="0.000000"/>
    <numFmt numFmtId="170" formatCode="0.0000"/>
  </numFmts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sz val="11"/>
      <color rgb="FF474747"/>
      <name val="Arial"/>
      <family val="2"/>
    </font>
    <font>
      <b/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51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0" fontId="0" fillId="0" borderId="0" xfId="0" quotePrefix="1" applyAlignment="1">
      <alignment vertical="center"/>
    </xf>
    <xf numFmtId="0" fontId="5" fillId="0" borderId="0" xfId="0" applyFont="1"/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164" fontId="0" fillId="0" borderId="9" xfId="0" applyNumberFormat="1" applyBorder="1" applyAlignment="1">
      <alignment vertical="center"/>
    </xf>
    <xf numFmtId="0" fontId="0" fillId="0" borderId="10" xfId="0" applyBorder="1" applyAlignment="1">
      <alignment vertical="center"/>
    </xf>
    <xf numFmtId="164" fontId="0" fillId="0" borderId="11" xfId="0" applyNumberFormat="1" applyBorder="1" applyAlignment="1">
      <alignment vertical="center"/>
    </xf>
    <xf numFmtId="164" fontId="0" fillId="0" borderId="7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165" fontId="0" fillId="0" borderId="8" xfId="0" applyNumberFormat="1" applyBorder="1" applyAlignment="1">
      <alignment vertical="center"/>
    </xf>
    <xf numFmtId="165" fontId="0" fillId="0" borderId="12" xfId="0" applyNumberFormat="1" applyBorder="1" applyAlignment="1">
      <alignment vertical="center"/>
    </xf>
    <xf numFmtId="165" fontId="0" fillId="0" borderId="9" xfId="0" applyNumberFormat="1" applyBorder="1" applyAlignment="1">
      <alignment vertical="center"/>
    </xf>
    <xf numFmtId="165" fontId="0" fillId="0" borderId="10" xfId="0" applyNumberFormat="1" applyBorder="1" applyAlignment="1">
      <alignment vertical="center"/>
    </xf>
    <xf numFmtId="165" fontId="0" fillId="0" borderId="1" xfId="0" applyNumberFormat="1" applyBorder="1" applyAlignment="1">
      <alignment vertical="center"/>
    </xf>
    <xf numFmtId="165" fontId="0" fillId="0" borderId="11" xfId="0" applyNumberFormat="1" applyBorder="1" applyAlignment="1">
      <alignment vertic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70" fontId="0" fillId="0" borderId="0" xfId="0" applyNumberFormat="1" applyAlignment="1">
      <alignment vertical="center"/>
    </xf>
    <xf numFmtId="9" fontId="0" fillId="0" borderId="0" xfId="1" applyFont="1" applyAlignment="1">
      <alignment vertical="center"/>
    </xf>
    <xf numFmtId="0" fontId="4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0" fontId="1" fillId="0" borderId="1" xfId="0" applyFont="1" applyBorder="1" applyAlignment="1">
      <alignment vertical="center"/>
    </xf>
    <xf numFmtId="2" fontId="0" fillId="0" borderId="1" xfId="0" applyNumberFormat="1" applyBorder="1" applyAlignment="1">
      <alignment vertical="center"/>
    </xf>
    <xf numFmtId="0" fontId="0" fillId="2" borderId="0" xfId="0" applyFill="1" applyAlignmen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Horiba Calibration</a:t>
            </a:r>
            <a:r>
              <a:rPr lang="en-US" b="1" baseline="0"/>
              <a:t> Curve</a:t>
            </a:r>
            <a:endParaRPr lang="en-US" b="1"/>
          </a:p>
        </c:rich>
      </c:tx>
      <c:layout>
        <c:manualLayout>
          <c:xMode val="edge"/>
          <c:yMode val="edge"/>
          <c:x val="6.1226538072372466E-2"/>
          <c:y val="1.5094336632627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784299984678559E-2"/>
          <c:y val="0.12349683088261658"/>
          <c:w val="0.7728356183054621"/>
          <c:h val="0.81057855483017771"/>
        </c:manualLayout>
      </c:layout>
      <c:scatterChart>
        <c:scatterStyle val="lineMarker"/>
        <c:varyColors val="0"/>
        <c:ser>
          <c:idx val="0"/>
          <c:order val="0"/>
          <c:tx>
            <c:v>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69460501861052E-2"/>
                  <c:y val="-0.23355890980856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'Calibration Curve'!$D$3:$D$8</c:f>
              <c:numCache>
                <c:formatCode>0.00</c:formatCode>
                <c:ptCount val="6"/>
                <c:pt idx="0">
                  <c:v>1.320146286111054</c:v>
                </c:pt>
                <c:pt idx="1">
                  <c:v>1.7041505168397992</c:v>
                </c:pt>
                <c:pt idx="2">
                  <c:v>2.0004340774793188</c:v>
                </c:pt>
                <c:pt idx="3">
                  <c:v>2.3029799367482493</c:v>
                </c:pt>
                <c:pt idx="4">
                  <c:v>2.6994908452722046</c:v>
                </c:pt>
                <c:pt idx="5">
                  <c:v>3</c:v>
                </c:pt>
              </c:numCache>
            </c:numRef>
          </c:xVal>
          <c:yVal>
            <c:numRef>
              <c:f>'Calibration Curve'!$C$3:$C$8</c:f>
              <c:numCache>
                <c:formatCode>General</c:formatCode>
                <c:ptCount val="6"/>
                <c:pt idx="0">
                  <c:v>84</c:v>
                </c:pt>
                <c:pt idx="1">
                  <c:v>68</c:v>
                </c:pt>
                <c:pt idx="2">
                  <c:v>48</c:v>
                </c:pt>
                <c:pt idx="3">
                  <c:v>34</c:v>
                </c:pt>
                <c:pt idx="4">
                  <c:v>9</c:v>
                </c:pt>
                <c:pt idx="5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0-41CC-B711-0B21D0A1A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086127"/>
        <c:axId val="1639091887"/>
      </c:scatterChart>
      <c:valAx>
        <c:axId val="1639086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91887"/>
        <c:crosses val="autoZero"/>
        <c:crossBetween val="midCat"/>
      </c:valAx>
      <c:valAx>
        <c:axId val="163909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86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CBB65F-C792-4079-9D53-39D6F0AD7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FBD3CF-E349-42D4-9571-14D92D180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868120-5ECD-4322-9ECF-C1341B6F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74BBEF-65AB-4A8E-AFB8-B545151D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2</xdr:row>
      <xdr:rowOff>95249</xdr:rowOff>
    </xdr:from>
    <xdr:to>
      <xdr:col>17</xdr:col>
      <xdr:colOff>215551</xdr:colOff>
      <xdr:row>32</xdr:row>
      <xdr:rowOff>198500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9041A-0344-9C7C-7259-49392FD4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33399"/>
          <a:ext cx="5435251" cy="7247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66675</xdr:rowOff>
    </xdr:from>
    <xdr:to>
      <xdr:col>17</xdr:col>
      <xdr:colOff>105594</xdr:colOff>
      <xdr:row>34</xdr:row>
      <xdr:rowOff>1085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8A09D9-72B4-66B9-EE0C-5547C2826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4025" y="257175"/>
          <a:ext cx="5868219" cy="7773485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6</xdr:row>
      <xdr:rowOff>161925</xdr:rowOff>
    </xdr:from>
    <xdr:to>
      <xdr:col>29</xdr:col>
      <xdr:colOff>143977</xdr:colOff>
      <xdr:row>39</xdr:row>
      <xdr:rowOff>96337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4DA50E-2649-0EFB-F7E6-2C110299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77725" y="1524000"/>
          <a:ext cx="7897327" cy="77925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48A12C-7C0C-992E-131C-AD57CD868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F4C388-B2BC-F5CF-F318-54940569E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247649</xdr:rowOff>
    </xdr:from>
    <xdr:to>
      <xdr:col>21</xdr:col>
      <xdr:colOff>323850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2F9E3F-BD83-0034-B0C5-1EB51F10B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964C-BA2F-4BDA-80B7-E6B4C6B9B23E}">
  <dimension ref="B2:AE76"/>
  <sheetViews>
    <sheetView showGridLines="0" zoomScaleNormal="100" workbookViewId="0">
      <selection activeCell="L7" sqref="L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f>D4+D5</f>
        <v>160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1.2867591185410339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0.114</v>
      </c>
      <c r="D11" s="1" t="s">
        <v>6</v>
      </c>
      <c r="E11" s="1">
        <f>C11*100</f>
        <v>11.4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4.4400000000000009E-2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5.7000000000000002E-3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2.2200000000000006E-3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25.735182370820674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10.023176291793318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1.2867591185410339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3.7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C33" s="1">
        <f>C31*C32</f>
        <v>44.400000000000006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5.8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38</v>
      </c>
      <c r="C38" s="1">
        <f>C36*C37</f>
        <v>69.599999999999994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7E9B1-1D7A-4A40-A40E-CE6051DF1231}">
  <dimension ref="B2:AE76"/>
  <sheetViews>
    <sheetView showGridLines="0" tabSelected="1" zoomScaleNormal="100" workbookViewId="0">
      <selection activeCell="D6" sqref="D6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/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1.2400000000000002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250</v>
      </c>
      <c r="E5" s="3">
        <f>14/(14+16*3)</f>
        <v>0.22580645161290322</v>
      </c>
      <c r="F5" s="4">
        <f>D5*E5</f>
        <v>56.451612903225808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/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2">
        <f>(C7*F5)/1000</f>
        <v>0.33870967741935487</v>
      </c>
      <c r="D8" s="1" t="s">
        <v>13</v>
      </c>
      <c r="E8" s="1">
        <f>C8*6*1000</f>
        <v>2032.258064516129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0.16800000000000001</v>
      </c>
      <c r="D11" s="1" t="s">
        <v>6</v>
      </c>
      <c r="E11" s="1">
        <f>C11*100</f>
        <v>16.8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0.108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8.4000000000000012E-3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5.4000000000000003E-3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24.800000000000004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15.942857142857143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1.2400000000000002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0.16258064516129034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59.341935483870976</v>
      </c>
      <c r="D24" s="1" t="s">
        <v>20</v>
      </c>
      <c r="E24" s="1">
        <f>C24*100</f>
        <v>5934.1935483870975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20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5.4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B33" s="1" t="s">
        <v>5</v>
      </c>
      <c r="C33" s="1">
        <f>C31*C32</f>
        <v>108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5</v>
      </c>
      <c r="C38" s="1">
        <f>C36*C37</f>
        <v>60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5F13-8639-4362-82FB-8AD46499BB07}">
  <dimension ref="B2:AE76"/>
  <sheetViews>
    <sheetView showGridLines="0" zoomScaleNormal="100" workbookViewId="0">
      <selection activeCell="U16" sqref="U16"/>
    </sheetView>
  </sheetViews>
  <sheetFormatPr defaultRowHeight="15" x14ac:dyDescent="0.25"/>
  <cols>
    <col min="1" max="1" width="9.140625" style="1"/>
    <col min="2" max="2" width="20.5703125" style="1" customWidth="1"/>
    <col min="3" max="3" width="9.140625" style="1"/>
    <col min="4" max="4" width="9" style="1" customWidth="1"/>
    <col min="5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Z2" s="1" t="s">
        <v>31</v>
      </c>
      <c r="AB2" s="10">
        <v>6.8</v>
      </c>
    </row>
    <row r="3" spans="2:31" ht="18.75" customHeight="1" x14ac:dyDescent="0.25">
      <c r="D3" s="1">
        <v>500</v>
      </c>
    </row>
    <row r="4" spans="2:31" ht="18.75" customHeight="1" x14ac:dyDescent="0.25">
      <c r="B4" s="1" t="s">
        <v>0</v>
      </c>
      <c r="C4" s="1" t="s">
        <v>14</v>
      </c>
      <c r="D4" s="1">
        <f>D3*1/5</f>
        <v>100</v>
      </c>
      <c r="E4" s="3">
        <f>14/(14+16*2)</f>
        <v>0.30434782608695654</v>
      </c>
      <c r="F4" s="4">
        <f>E4*D4</f>
        <v>30.434782608695656</v>
      </c>
      <c r="S4" s="1" t="s">
        <v>23</v>
      </c>
      <c r="T4" s="1" t="s">
        <v>24</v>
      </c>
      <c r="Z4" s="1" t="s">
        <v>29</v>
      </c>
      <c r="AA4" s="1" t="s">
        <v>32</v>
      </c>
      <c r="AB4" s="9" t="s">
        <v>33</v>
      </c>
      <c r="AC4" s="1" t="s">
        <v>30</v>
      </c>
    </row>
    <row r="5" spans="2:31" ht="18.75" customHeight="1" x14ac:dyDescent="0.25">
      <c r="B5" s="1" t="s">
        <v>1</v>
      </c>
      <c r="C5" s="1" t="s">
        <v>15</v>
      </c>
      <c r="D5" s="1">
        <f>D3*(4/5)</f>
        <v>400</v>
      </c>
      <c r="E5" s="3">
        <f>14/(14+16*3)</f>
        <v>0.22580645161290322</v>
      </c>
      <c r="F5" s="4">
        <f>D5*E5</f>
        <v>90.322580645161281</v>
      </c>
      <c r="Z5" s="3">
        <v>6.8</v>
      </c>
      <c r="AA5" s="11">
        <f>(10^-Z5)</f>
        <v>1.5848931924611122E-7</v>
      </c>
      <c r="AB5" s="7">
        <f>(10^-Z5-10^-$AB$2)</f>
        <v>0</v>
      </c>
      <c r="AC5" s="1">
        <f>62*(4/5)+46/5</f>
        <v>58.8</v>
      </c>
      <c r="AD5" s="9">
        <f>AA5*AC5*10^3</f>
        <v>9.31917197167134E-3</v>
      </c>
      <c r="AE5" s="9">
        <f t="shared" ref="AE5:AE36" si="0">AB5*AC5*10^3</f>
        <v>0</v>
      </c>
    </row>
    <row r="6" spans="2:31" ht="18.75" customHeight="1" x14ac:dyDescent="0.25">
      <c r="B6" s="1" t="s">
        <v>18</v>
      </c>
      <c r="F6" s="4">
        <f>F5+F4</f>
        <v>120.75736325385694</v>
      </c>
      <c r="Z6" s="3">
        <f>Z5-0.1</f>
        <v>6.7</v>
      </c>
      <c r="AA6" s="11">
        <f t="shared" ref="AA6:AA69" si="1">(10^-Z6)</f>
        <v>1.9952623149688761E-7</v>
      </c>
      <c r="AB6" s="7">
        <f t="shared" ref="AB6:AB69" si="2">(10^-Z6-10^-$AB$2)</f>
        <v>4.1036912250776383E-8</v>
      </c>
      <c r="AC6" s="1">
        <f t="shared" ref="AC6:AC69" si="3">62*(4/5)+46/5</f>
        <v>58.8</v>
      </c>
      <c r="AD6" s="9">
        <f t="shared" ref="AD6:AD53" si="4">AA6*AC6*10^3</f>
        <v>1.1732142412016991E-2</v>
      </c>
      <c r="AE6" s="9">
        <f t="shared" si="0"/>
        <v>2.4129704403456514E-3</v>
      </c>
    </row>
    <row r="7" spans="2:31" ht="18.75" customHeight="1" x14ac:dyDescent="0.25">
      <c r="B7" s="1" t="s">
        <v>7</v>
      </c>
      <c r="C7" s="1">
        <v>5</v>
      </c>
      <c r="D7" s="1" t="s">
        <v>8</v>
      </c>
      <c r="Z7" s="3">
        <f t="shared" ref="Z7:Z53" si="5">Z6-0.1</f>
        <v>6.6000000000000005</v>
      </c>
      <c r="AA7" s="11">
        <f t="shared" si="1"/>
        <v>2.5118864315095733E-7</v>
      </c>
      <c r="AB7" s="7">
        <f t="shared" si="2"/>
        <v>9.2699323904846105E-8</v>
      </c>
      <c r="AC7" s="1">
        <f t="shared" si="3"/>
        <v>58.8</v>
      </c>
      <c r="AD7" s="9">
        <f t="shared" si="4"/>
        <v>1.4769892217276289E-2</v>
      </c>
      <c r="AE7" s="9">
        <f t="shared" si="0"/>
        <v>5.4507202456049505E-3</v>
      </c>
    </row>
    <row r="8" spans="2:31" ht="18.75" customHeight="1" x14ac:dyDescent="0.25">
      <c r="B8" s="1" t="s">
        <v>9</v>
      </c>
      <c r="C8" s="6">
        <f>(C7*F6)/1000</f>
        <v>0.60378681626928477</v>
      </c>
      <c r="D8" s="1" t="s">
        <v>13</v>
      </c>
      <c r="E8" s="1">
        <f>C8*6*1000</f>
        <v>3622.7208976157085</v>
      </c>
      <c r="Z8" s="3">
        <f t="shared" si="5"/>
        <v>6.5000000000000009</v>
      </c>
      <c r="AA8" s="11">
        <f t="shared" si="1"/>
        <v>3.1622776601683681E-7</v>
      </c>
      <c r="AB8" s="7">
        <f t="shared" si="2"/>
        <v>1.5773844677072558E-7</v>
      </c>
      <c r="AC8" s="1">
        <f t="shared" si="3"/>
        <v>58.8</v>
      </c>
      <c r="AD8" s="9">
        <f t="shared" si="4"/>
        <v>1.8594192641790002E-2</v>
      </c>
      <c r="AE8" s="9">
        <f t="shared" si="0"/>
        <v>9.2750206701186638E-3</v>
      </c>
    </row>
    <row r="9" spans="2:31" ht="18.75" customHeight="1" x14ac:dyDescent="0.25">
      <c r="Z9" s="3">
        <f t="shared" si="5"/>
        <v>6.4000000000000012</v>
      </c>
      <c r="AA9" s="11">
        <f t="shared" si="1"/>
        <v>3.9810717055349544E-7</v>
      </c>
      <c r="AB9" s="7">
        <f t="shared" si="2"/>
        <v>2.3961785130738419E-7</v>
      </c>
      <c r="AC9" s="1">
        <f t="shared" si="3"/>
        <v>58.8</v>
      </c>
      <c r="AD9" s="9">
        <f t="shared" si="4"/>
        <v>2.3408701628545529E-2</v>
      </c>
      <c r="AE9" s="9">
        <f t="shared" si="0"/>
        <v>1.408952965687419E-2</v>
      </c>
    </row>
    <row r="10" spans="2:31" ht="18.75" customHeight="1" x14ac:dyDescent="0.25">
      <c r="B10" s="1" t="s">
        <v>3</v>
      </c>
      <c r="C10" s="1">
        <v>10</v>
      </c>
      <c r="D10" s="1" t="s">
        <v>4</v>
      </c>
      <c r="Z10" s="3">
        <f t="shared" si="5"/>
        <v>6.3000000000000016</v>
      </c>
      <c r="AA10" s="11">
        <f t="shared" si="1"/>
        <v>5.0118723362726953E-7</v>
      </c>
      <c r="AB10" s="7">
        <f t="shared" si="2"/>
        <v>3.4269791438115834E-7</v>
      </c>
      <c r="AC10" s="1">
        <f t="shared" si="3"/>
        <v>58.8</v>
      </c>
      <c r="AD10" s="9">
        <f t="shared" si="4"/>
        <v>2.9469809337283447E-2</v>
      </c>
      <c r="AE10" s="9">
        <f t="shared" si="0"/>
        <v>2.0150637365612109E-2</v>
      </c>
    </row>
    <row r="11" spans="2:31" ht="18.75" customHeight="1" x14ac:dyDescent="0.25">
      <c r="B11" s="1" t="s">
        <v>5</v>
      </c>
      <c r="C11" s="1">
        <v>0.3</v>
      </c>
      <c r="D11" s="1" t="s">
        <v>6</v>
      </c>
      <c r="Z11" s="3">
        <f t="shared" si="5"/>
        <v>6.200000000000002</v>
      </c>
      <c r="AA11" s="11">
        <f t="shared" si="1"/>
        <v>6.3095734448018915E-7</v>
      </c>
      <c r="AB11" s="7">
        <f t="shared" si="2"/>
        <v>4.7246802523407796E-7</v>
      </c>
      <c r="AC11" s="1">
        <f t="shared" si="3"/>
        <v>58.8</v>
      </c>
      <c r="AD11" s="9">
        <f t="shared" si="4"/>
        <v>3.7100291855435119E-2</v>
      </c>
      <c r="AE11" s="9">
        <f t="shared" si="0"/>
        <v>2.7781119883763781E-2</v>
      </c>
    </row>
    <row r="12" spans="2:31" ht="18.75" customHeight="1" x14ac:dyDescent="0.25">
      <c r="Z12" s="3">
        <f t="shared" si="5"/>
        <v>6.1000000000000023</v>
      </c>
      <c r="AA12" s="11">
        <f t="shared" si="1"/>
        <v>7.9432823472427563E-7</v>
      </c>
      <c r="AB12" s="7">
        <f t="shared" si="2"/>
        <v>6.3583891547816443E-7</v>
      </c>
      <c r="AC12" s="1">
        <f t="shared" si="3"/>
        <v>58.8</v>
      </c>
      <c r="AD12" s="9">
        <f t="shared" si="4"/>
        <v>4.6706500201787404E-2</v>
      </c>
      <c r="AE12" s="9">
        <f t="shared" si="0"/>
        <v>3.7387328230116069E-2</v>
      </c>
    </row>
    <row r="13" spans="2:31" ht="18.75" customHeight="1" x14ac:dyDescent="0.25">
      <c r="B13" s="5" t="s">
        <v>21</v>
      </c>
      <c r="Z13" s="3">
        <f t="shared" si="5"/>
        <v>6.0000000000000027</v>
      </c>
      <c r="AA13" s="11">
        <f t="shared" si="1"/>
        <v>9.9999999999999339E-7</v>
      </c>
      <c r="AB13" s="7">
        <f t="shared" si="2"/>
        <v>8.4151068075388219E-7</v>
      </c>
      <c r="AC13" s="1">
        <f t="shared" si="3"/>
        <v>58.8</v>
      </c>
      <c r="AD13" s="9">
        <f t="shared" si="4"/>
        <v>5.879999999999961E-2</v>
      </c>
      <c r="AE13" s="9">
        <f t="shared" si="0"/>
        <v>4.9480828028328268E-2</v>
      </c>
    </row>
    <row r="14" spans="2:31" ht="18.75" customHeight="1" x14ac:dyDescent="0.25">
      <c r="B14" s="1" t="s">
        <v>25</v>
      </c>
      <c r="C14" s="2">
        <f>(C10/60)*C11</f>
        <v>4.9999999999999996E-2</v>
      </c>
      <c r="D14" s="1" t="s">
        <v>26</v>
      </c>
      <c r="Z14" s="3">
        <f t="shared" si="5"/>
        <v>5.900000000000003</v>
      </c>
      <c r="AA14" s="11">
        <f t="shared" si="1"/>
        <v>1.2589254117941576E-6</v>
      </c>
      <c r="AB14" s="7">
        <f t="shared" si="2"/>
        <v>1.1004360925480463E-6</v>
      </c>
      <c r="AC14" s="1">
        <f t="shared" si="3"/>
        <v>58.8</v>
      </c>
      <c r="AD14" s="9">
        <f t="shared" si="4"/>
        <v>7.4024814213496465E-2</v>
      </c>
      <c r="AE14" s="9">
        <f t="shared" si="0"/>
        <v>6.4705642241825123E-2</v>
      </c>
    </row>
    <row r="15" spans="2:31" ht="18.75" customHeight="1" x14ac:dyDescent="0.25">
      <c r="B15" s="1" t="s">
        <v>10</v>
      </c>
      <c r="C15" s="6">
        <f>C14/(C8/1000)</f>
        <v>82.810685249709636</v>
      </c>
      <c r="D15" s="1" t="s">
        <v>10</v>
      </c>
      <c r="Z15" s="3">
        <f t="shared" si="5"/>
        <v>5.8000000000000034</v>
      </c>
      <c r="AA15" s="11">
        <f t="shared" si="1"/>
        <v>1.5848931924610999E-6</v>
      </c>
      <c r="AB15" s="7">
        <f t="shared" si="2"/>
        <v>1.4264038732149886E-6</v>
      </c>
      <c r="AC15" s="1">
        <f t="shared" si="3"/>
        <v>58.8</v>
      </c>
      <c r="AD15" s="9">
        <f t="shared" si="4"/>
        <v>9.3191719716712668E-2</v>
      </c>
      <c r="AE15" s="9">
        <f t="shared" si="0"/>
        <v>8.3872547745041326E-2</v>
      </c>
    </row>
    <row r="16" spans="2:31" ht="18.75" customHeight="1" x14ac:dyDescent="0.25">
      <c r="B16" s="1" t="s">
        <v>11</v>
      </c>
      <c r="C16" s="1">
        <v>0.05</v>
      </c>
      <c r="Z16" s="3">
        <f t="shared" si="5"/>
        <v>5.7000000000000037</v>
      </c>
      <c r="AA16" s="11">
        <f t="shared" si="1"/>
        <v>1.9952623149688609E-6</v>
      </c>
      <c r="AB16" s="7">
        <f t="shared" si="2"/>
        <v>1.8367729957227496E-6</v>
      </c>
      <c r="AC16" s="1">
        <f t="shared" si="3"/>
        <v>58.8</v>
      </c>
      <c r="AD16" s="9">
        <f t="shared" si="4"/>
        <v>0.11732142412016902</v>
      </c>
      <c r="AE16" s="9">
        <f t="shared" si="0"/>
        <v>0.10800225214849767</v>
      </c>
    </row>
    <row r="17" spans="2:31" ht="18.75" customHeight="1" x14ac:dyDescent="0.25">
      <c r="B17" s="1" t="s">
        <v>12</v>
      </c>
      <c r="C17" s="3">
        <f>C15*C16</f>
        <v>4.140534262485482</v>
      </c>
      <c r="E17" s="5"/>
      <c r="Z17" s="3">
        <f t="shared" si="5"/>
        <v>5.6000000000000041</v>
      </c>
      <c r="AA17" s="11">
        <f t="shared" si="1"/>
        <v>2.5118864315095539E-6</v>
      </c>
      <c r="AB17" s="7">
        <f t="shared" si="2"/>
        <v>2.3533971122634428E-6</v>
      </c>
      <c r="AC17" s="1">
        <f t="shared" si="3"/>
        <v>58.8</v>
      </c>
      <c r="AD17" s="9">
        <f t="shared" si="4"/>
        <v>0.14769892217276176</v>
      </c>
      <c r="AE17" s="9">
        <f t="shared" si="0"/>
        <v>0.13837975020109042</v>
      </c>
    </row>
    <row r="18" spans="2:31" ht="18.75" customHeight="1" x14ac:dyDescent="0.25">
      <c r="Z18" s="3">
        <f t="shared" si="5"/>
        <v>5.5000000000000044</v>
      </c>
      <c r="AA18" s="11">
        <f t="shared" si="1"/>
        <v>3.1622776601683436E-6</v>
      </c>
      <c r="AB18" s="7">
        <f t="shared" si="2"/>
        <v>3.0037883409222325E-6</v>
      </c>
      <c r="AC18" s="1">
        <f t="shared" si="3"/>
        <v>58.8</v>
      </c>
      <c r="AD18" s="9">
        <f t="shared" si="4"/>
        <v>0.18594192641789861</v>
      </c>
      <c r="AE18" s="9">
        <f t="shared" si="0"/>
        <v>0.17662275444622727</v>
      </c>
    </row>
    <row r="19" spans="2:31" ht="18.75" customHeight="1" x14ac:dyDescent="0.25">
      <c r="B19" s="5" t="s">
        <v>22</v>
      </c>
      <c r="C19" s="5"/>
      <c r="D19" s="5"/>
      <c r="Z19" s="3">
        <f t="shared" si="5"/>
        <v>5.4000000000000048</v>
      </c>
      <c r="AA19" s="11">
        <f t="shared" si="1"/>
        <v>3.9810717055349234E-6</v>
      </c>
      <c r="AB19" s="7">
        <f t="shared" si="2"/>
        <v>3.8225823862888119E-6</v>
      </c>
      <c r="AC19" s="1">
        <f t="shared" si="3"/>
        <v>58.8</v>
      </c>
      <c r="AD19" s="9">
        <f t="shared" si="4"/>
        <v>0.2340870162854535</v>
      </c>
      <c r="AE19" s="9">
        <f t="shared" si="0"/>
        <v>0.22476784431378213</v>
      </c>
    </row>
    <row r="20" spans="2:31" ht="18.75" customHeight="1" x14ac:dyDescent="0.25">
      <c r="B20" s="1" t="s">
        <v>9</v>
      </c>
      <c r="C20" s="3">
        <f>(1440/C10)*C8/1000</f>
        <v>8.6945301542777007E-2</v>
      </c>
      <c r="D20" s="1" t="s">
        <v>19</v>
      </c>
      <c r="Z20" s="3">
        <f t="shared" si="5"/>
        <v>5.3000000000000052</v>
      </c>
      <c r="AA20" s="11">
        <f t="shared" si="1"/>
        <v>5.0118723362726555E-6</v>
      </c>
      <c r="AB20" s="7">
        <f t="shared" si="2"/>
        <v>4.853383017026544E-6</v>
      </c>
      <c r="AC20" s="1">
        <f t="shared" si="3"/>
        <v>58.8</v>
      </c>
      <c r="AD20" s="9">
        <f t="shared" si="4"/>
        <v>0.29469809337283209</v>
      </c>
      <c r="AE20" s="9">
        <f t="shared" si="0"/>
        <v>0.28537892140116072</v>
      </c>
    </row>
    <row r="21" spans="2:31" ht="18.75" customHeight="1" x14ac:dyDescent="0.25">
      <c r="C21" s="4">
        <f>C20*365</f>
        <v>31.735035063113607</v>
      </c>
      <c r="D21" s="1" t="s">
        <v>20</v>
      </c>
      <c r="Z21" s="3">
        <f t="shared" si="5"/>
        <v>5.2000000000000055</v>
      </c>
      <c r="AA21" s="11">
        <f t="shared" si="1"/>
        <v>6.3095734448018424E-6</v>
      </c>
      <c r="AB21" s="7">
        <f t="shared" si="2"/>
        <v>6.1510841255557309E-6</v>
      </c>
      <c r="AC21" s="1">
        <f t="shared" si="3"/>
        <v>58.8</v>
      </c>
      <c r="AD21" s="9">
        <f t="shared" si="4"/>
        <v>0.3710029185543483</v>
      </c>
      <c r="AE21" s="9">
        <f t="shared" si="0"/>
        <v>0.36168374658267693</v>
      </c>
    </row>
    <row r="22" spans="2:31" ht="18.75" customHeight="1" x14ac:dyDescent="0.25">
      <c r="Z22" s="3">
        <f t="shared" si="5"/>
        <v>5.1000000000000059</v>
      </c>
      <c r="AA22" s="11">
        <f t="shared" si="1"/>
        <v>7.9432823472426947E-6</v>
      </c>
      <c r="AB22" s="7">
        <f t="shared" si="2"/>
        <v>7.7847930279965832E-6</v>
      </c>
      <c r="AC22" s="1">
        <f t="shared" si="3"/>
        <v>58.8</v>
      </c>
      <c r="AD22" s="9">
        <f t="shared" si="4"/>
        <v>0.46706500201787043</v>
      </c>
      <c r="AE22" s="9">
        <f t="shared" si="0"/>
        <v>0.45774583004619906</v>
      </c>
    </row>
    <row r="23" spans="2:31" ht="18.75" customHeight="1" x14ac:dyDescent="0.25">
      <c r="Z23" s="3">
        <f t="shared" si="5"/>
        <v>5.0000000000000062</v>
      </c>
      <c r="AA23" s="11">
        <f t="shared" si="1"/>
        <v>9.9999999999998382E-6</v>
      </c>
      <c r="AB23" s="7">
        <f t="shared" si="2"/>
        <v>9.8415106807537267E-6</v>
      </c>
      <c r="AC23" s="1">
        <f t="shared" si="3"/>
        <v>58.8</v>
      </c>
      <c r="AD23" s="9">
        <f t="shared" si="4"/>
        <v>0.58799999999999042</v>
      </c>
      <c r="AE23" s="9">
        <f t="shared" si="0"/>
        <v>0.57868082802831911</v>
      </c>
    </row>
    <row r="24" spans="2:31" ht="18.75" customHeight="1" x14ac:dyDescent="0.25">
      <c r="Z24" s="3">
        <f t="shared" si="5"/>
        <v>4.9000000000000066</v>
      </c>
      <c r="AA24" s="11">
        <f t="shared" si="1"/>
        <v>1.2589254117941478E-5</v>
      </c>
      <c r="AB24" s="7">
        <f t="shared" si="2"/>
        <v>1.2430764798695367E-5</v>
      </c>
      <c r="AC24" s="1">
        <f t="shared" si="3"/>
        <v>58.8</v>
      </c>
      <c r="AD24" s="9">
        <f t="shared" si="4"/>
        <v>0.74024814213495882</v>
      </c>
      <c r="AE24" s="9">
        <f t="shared" si="0"/>
        <v>0.73092897016328751</v>
      </c>
    </row>
    <row r="25" spans="2:31" ht="18.75" customHeight="1" x14ac:dyDescent="0.25">
      <c r="Z25" s="3">
        <f t="shared" si="5"/>
        <v>4.8000000000000069</v>
      </c>
      <c r="AA25" s="11">
        <f t="shared" si="1"/>
        <v>1.5848931924610877E-5</v>
      </c>
      <c r="AB25" s="7">
        <f t="shared" si="2"/>
        <v>1.5690442605364767E-5</v>
      </c>
      <c r="AC25" s="1">
        <f t="shared" si="3"/>
        <v>58.8</v>
      </c>
      <c r="AD25" s="9">
        <f t="shared" si="4"/>
        <v>0.93191719716711952</v>
      </c>
      <c r="AE25" s="9">
        <f t="shared" si="0"/>
        <v>0.9225980251954482</v>
      </c>
    </row>
    <row r="26" spans="2:31" ht="18.75" customHeight="1" x14ac:dyDescent="0.25">
      <c r="U26" s="8">
        <f>10^-2.8</f>
        <v>1.5848931924611134E-3</v>
      </c>
      <c r="Z26" s="3">
        <f t="shared" si="5"/>
        <v>4.7000000000000073</v>
      </c>
      <c r="AA26" s="11">
        <f t="shared" si="1"/>
        <v>1.9952623149688451E-5</v>
      </c>
      <c r="AB26" s="7">
        <f t="shared" si="2"/>
        <v>1.9794133830442341E-5</v>
      </c>
      <c r="AC26" s="1">
        <f t="shared" si="3"/>
        <v>58.8</v>
      </c>
      <c r="AD26" s="9">
        <f t="shared" si="4"/>
        <v>1.1732142412016808</v>
      </c>
      <c r="AE26" s="9">
        <f t="shared" si="0"/>
        <v>1.1638950692300096</v>
      </c>
    </row>
    <row r="27" spans="2:31" ht="18.75" customHeight="1" x14ac:dyDescent="0.25">
      <c r="Z27" s="3">
        <f t="shared" si="5"/>
        <v>4.6000000000000076</v>
      </c>
      <c r="AA27" s="11">
        <f t="shared" si="1"/>
        <v>2.5118864315095344E-5</v>
      </c>
      <c r="AB27" s="7">
        <f t="shared" si="2"/>
        <v>2.4960374995849234E-5</v>
      </c>
      <c r="AC27" s="1">
        <f t="shared" si="3"/>
        <v>58.8</v>
      </c>
      <c r="AD27" s="9">
        <f t="shared" si="4"/>
        <v>1.4769892217276062</v>
      </c>
      <c r="AE27" s="9">
        <f t="shared" si="0"/>
        <v>1.467670049755935</v>
      </c>
    </row>
    <row r="28" spans="2:31" ht="18.75" customHeight="1" x14ac:dyDescent="0.25">
      <c r="U28" s="1" t="s">
        <v>27</v>
      </c>
      <c r="V28" s="1">
        <f>U26/5</f>
        <v>3.1697863849222268E-4</v>
      </c>
      <c r="W28" s="1">
        <f>14+16*2</f>
        <v>46</v>
      </c>
      <c r="X28" s="1">
        <f>V28*W28*1000</f>
        <v>14.581017370642243</v>
      </c>
      <c r="Z28" s="3">
        <f t="shared" si="5"/>
        <v>4.500000000000008</v>
      </c>
      <c r="AA28" s="11">
        <f t="shared" si="1"/>
        <v>3.1622776601683185E-5</v>
      </c>
      <c r="AB28" s="7">
        <f t="shared" si="2"/>
        <v>3.1464287282437072E-5</v>
      </c>
      <c r="AC28" s="1">
        <f t="shared" si="3"/>
        <v>58.8</v>
      </c>
      <c r="AD28" s="9">
        <f t="shared" si="4"/>
        <v>1.8594192641789713</v>
      </c>
      <c r="AE28" s="9">
        <f t="shared" si="0"/>
        <v>1.8501000922072997</v>
      </c>
    </row>
    <row r="29" spans="2:31" ht="18.75" customHeight="1" x14ac:dyDescent="0.25">
      <c r="U29" s="1" t="s">
        <v>28</v>
      </c>
      <c r="V29" s="1">
        <f>U26*4/5</f>
        <v>1.2679145539688907E-3</v>
      </c>
      <c r="W29" s="1">
        <f>14+16*3</f>
        <v>62</v>
      </c>
      <c r="X29" s="1">
        <f>V29*W29*1000</f>
        <v>78.610702346071221</v>
      </c>
      <c r="Z29" s="3">
        <f t="shared" si="5"/>
        <v>4.4000000000000083</v>
      </c>
      <c r="AA29" s="11">
        <f t="shared" si="1"/>
        <v>3.9810717055348922E-5</v>
      </c>
      <c r="AB29" s="7">
        <f t="shared" si="2"/>
        <v>3.9652227736102809E-5</v>
      </c>
      <c r="AC29" s="1">
        <f t="shared" si="3"/>
        <v>58.8</v>
      </c>
      <c r="AD29" s="9">
        <f t="shared" si="4"/>
        <v>2.3408701628545163</v>
      </c>
      <c r="AE29" s="9">
        <f t="shared" si="0"/>
        <v>2.3315509908828451</v>
      </c>
    </row>
    <row r="30" spans="2:31" ht="18.75" customHeight="1" x14ac:dyDescent="0.25">
      <c r="Z30" s="3">
        <f t="shared" si="5"/>
        <v>4.3000000000000087</v>
      </c>
      <c r="AA30" s="11">
        <f t="shared" si="1"/>
        <v>5.0118723362726167E-5</v>
      </c>
      <c r="AB30" s="7">
        <f t="shared" si="2"/>
        <v>4.9960234043480054E-5</v>
      </c>
      <c r="AC30" s="1">
        <f t="shared" si="3"/>
        <v>58.8</v>
      </c>
      <c r="AD30" s="9">
        <f t="shared" si="4"/>
        <v>2.9469809337282982</v>
      </c>
      <c r="AE30" s="9">
        <f t="shared" si="0"/>
        <v>2.9376617617566274</v>
      </c>
    </row>
    <row r="31" spans="2:31" ht="18.75" customHeight="1" x14ac:dyDescent="0.25">
      <c r="Z31" s="3">
        <f t="shared" si="5"/>
        <v>4.2000000000000091</v>
      </c>
      <c r="AA31" s="11">
        <f t="shared" si="1"/>
        <v>6.3095734448017938E-5</v>
      </c>
      <c r="AB31" s="7">
        <f t="shared" si="2"/>
        <v>6.2937245128771825E-5</v>
      </c>
      <c r="AC31" s="1">
        <f t="shared" si="3"/>
        <v>58.8</v>
      </c>
      <c r="AD31" s="9">
        <f t="shared" si="4"/>
        <v>3.7100291855434544</v>
      </c>
      <c r="AE31" s="9">
        <f t="shared" si="0"/>
        <v>3.7007100135717832</v>
      </c>
    </row>
    <row r="32" spans="2:31" ht="18.75" customHeight="1" x14ac:dyDescent="0.25">
      <c r="Z32" s="3">
        <f t="shared" si="5"/>
        <v>4.1000000000000094</v>
      </c>
      <c r="AA32" s="11">
        <f t="shared" si="1"/>
        <v>7.9432823472426323E-5</v>
      </c>
      <c r="AB32" s="7">
        <f t="shared" si="2"/>
        <v>7.927433415318021E-5</v>
      </c>
      <c r="AC32" s="1">
        <f t="shared" si="3"/>
        <v>58.8</v>
      </c>
      <c r="AD32" s="9">
        <f t="shared" si="4"/>
        <v>4.6706500201786678</v>
      </c>
      <c r="AE32" s="9">
        <f t="shared" si="0"/>
        <v>4.6613308482069957</v>
      </c>
    </row>
    <row r="33" spans="23:31" ht="18.75" customHeight="1" x14ac:dyDescent="0.25">
      <c r="Z33" s="3">
        <f t="shared" si="5"/>
        <v>4.0000000000000098</v>
      </c>
      <c r="AA33" s="11">
        <f t="shared" si="1"/>
        <v>9.9999999999997592E-5</v>
      </c>
      <c r="AB33" s="7">
        <f t="shared" si="2"/>
        <v>9.9841510680751479E-5</v>
      </c>
      <c r="AC33" s="1">
        <f t="shared" si="3"/>
        <v>58.8</v>
      </c>
      <c r="AD33" s="9">
        <f t="shared" si="4"/>
        <v>5.8799999999998587</v>
      </c>
      <c r="AE33" s="9">
        <f t="shared" si="0"/>
        <v>5.8706808280281866</v>
      </c>
    </row>
    <row r="34" spans="23:31" ht="18.75" customHeight="1" x14ac:dyDescent="0.25">
      <c r="Z34" s="3">
        <f t="shared" si="5"/>
        <v>3.9000000000000097</v>
      </c>
      <c r="AA34" s="11">
        <f t="shared" si="1"/>
        <v>1.2589254117941382E-4</v>
      </c>
      <c r="AB34" s="7">
        <f t="shared" si="2"/>
        <v>1.257340518601677E-4</v>
      </c>
      <c r="AC34" s="1">
        <f t="shared" si="3"/>
        <v>58.8</v>
      </c>
      <c r="AD34" s="9">
        <f t="shared" si="4"/>
        <v>7.402481421349532</v>
      </c>
      <c r="AE34" s="9">
        <f t="shared" si="0"/>
        <v>7.3931622493778608</v>
      </c>
    </row>
    <row r="35" spans="23:31" ht="18.75" customHeight="1" x14ac:dyDescent="0.25">
      <c r="Z35" s="3">
        <f t="shared" si="5"/>
        <v>3.8000000000000096</v>
      </c>
      <c r="AA35" s="11">
        <f t="shared" si="1"/>
        <v>1.5848931924610781E-4</v>
      </c>
      <c r="AB35" s="7">
        <f t="shared" si="2"/>
        <v>1.583308299268617E-4</v>
      </c>
      <c r="AC35" s="1">
        <f t="shared" si="3"/>
        <v>58.8</v>
      </c>
      <c r="AD35" s="9">
        <f t="shared" si="4"/>
        <v>9.319171971671139</v>
      </c>
      <c r="AE35" s="9">
        <f t="shared" si="0"/>
        <v>9.3098527996994669</v>
      </c>
    </row>
    <row r="36" spans="23:31" ht="18.75" customHeight="1" x14ac:dyDescent="0.25">
      <c r="Z36" s="3">
        <f t="shared" si="5"/>
        <v>3.7000000000000095</v>
      </c>
      <c r="AA36" s="11">
        <f t="shared" si="1"/>
        <v>1.9952623149688332E-4</v>
      </c>
      <c r="AB36" s="7">
        <f t="shared" si="2"/>
        <v>1.9936774217763721E-4</v>
      </c>
      <c r="AC36" s="1">
        <f t="shared" si="3"/>
        <v>58.8</v>
      </c>
      <c r="AD36" s="9">
        <f t="shared" si="4"/>
        <v>11.732142412016739</v>
      </c>
      <c r="AE36" s="9">
        <f t="shared" si="0"/>
        <v>11.722823240045068</v>
      </c>
    </row>
    <row r="37" spans="23:31" ht="18.75" customHeight="1" x14ac:dyDescent="0.25">
      <c r="Z37" s="3">
        <f t="shared" si="5"/>
        <v>3.6000000000000094</v>
      </c>
      <c r="AA37" s="11">
        <f t="shared" si="1"/>
        <v>2.5118864315095237E-4</v>
      </c>
      <c r="AB37" s="7">
        <f t="shared" si="2"/>
        <v>2.5103015383170628E-4</v>
      </c>
      <c r="AC37" s="1">
        <f t="shared" si="3"/>
        <v>58.8</v>
      </c>
      <c r="AD37" s="9">
        <f t="shared" si="4"/>
        <v>14.769892217275999</v>
      </c>
      <c r="AE37" s="9">
        <f t="shared" ref="AE37:AE53" si="6">AB37*AC37*10^3</f>
        <v>14.760573045304328</v>
      </c>
    </row>
    <row r="38" spans="23:31" ht="18.75" customHeight="1" x14ac:dyDescent="0.25">
      <c r="Z38" s="3">
        <f t="shared" si="5"/>
        <v>3.5000000000000093</v>
      </c>
      <c r="AA38" s="11">
        <f t="shared" si="1"/>
        <v>3.1622776601683111E-4</v>
      </c>
      <c r="AB38" s="7">
        <f t="shared" si="2"/>
        <v>3.1606927669758502E-4</v>
      </c>
      <c r="AC38" s="1">
        <f t="shared" si="3"/>
        <v>58.8</v>
      </c>
      <c r="AD38" s="9">
        <f t="shared" si="4"/>
        <v>18.594192641789668</v>
      </c>
      <c r="AE38" s="9">
        <f t="shared" si="6"/>
        <v>18.584873469818</v>
      </c>
    </row>
    <row r="39" spans="23:31" ht="18.75" customHeight="1" x14ac:dyDescent="0.25">
      <c r="Z39" s="3">
        <f t="shared" si="5"/>
        <v>3.4000000000000092</v>
      </c>
      <c r="AA39" s="11">
        <f t="shared" si="1"/>
        <v>3.9810717055348857E-4</v>
      </c>
      <c r="AB39" s="7">
        <f t="shared" si="2"/>
        <v>3.9794868123424248E-4</v>
      </c>
      <c r="AC39" s="1">
        <f t="shared" si="3"/>
        <v>58.8</v>
      </c>
      <c r="AD39" s="9">
        <f t="shared" si="4"/>
        <v>23.408701628545128</v>
      </c>
      <c r="AE39" s="9">
        <f t="shared" si="6"/>
        <v>23.399382456573456</v>
      </c>
    </row>
    <row r="40" spans="23:31" ht="18.75" customHeight="1" x14ac:dyDescent="0.25">
      <c r="Z40" s="3">
        <f t="shared" si="5"/>
        <v>3.3000000000000091</v>
      </c>
      <c r="AA40" s="11">
        <f t="shared" si="1"/>
        <v>5.0118723362726136E-4</v>
      </c>
      <c r="AB40" s="7">
        <f t="shared" si="2"/>
        <v>5.0102874430801522E-4</v>
      </c>
      <c r="AC40" s="1">
        <f t="shared" si="3"/>
        <v>58.8</v>
      </c>
      <c r="AD40" s="9">
        <f t="shared" si="4"/>
        <v>29.469809337282964</v>
      </c>
      <c r="AE40" s="9">
        <f t="shared" si="6"/>
        <v>29.460490165311295</v>
      </c>
    </row>
    <row r="41" spans="23:31" ht="18.75" customHeight="1" x14ac:dyDescent="0.25">
      <c r="Z41" s="3">
        <f t="shared" si="5"/>
        <v>3.2000000000000091</v>
      </c>
      <c r="AA41" s="11">
        <f t="shared" si="1"/>
        <v>6.3095734448017943E-4</v>
      </c>
      <c r="AB41" s="7">
        <f t="shared" si="2"/>
        <v>6.3079885516093329E-4</v>
      </c>
      <c r="AC41" s="1">
        <f t="shared" si="3"/>
        <v>58.8</v>
      </c>
      <c r="AD41" s="9">
        <f t="shared" si="4"/>
        <v>37.100291855434548</v>
      </c>
      <c r="AE41" s="9">
        <f t="shared" si="6"/>
        <v>37.09097268346288</v>
      </c>
    </row>
    <row r="42" spans="23:31" ht="18.75" customHeight="1" x14ac:dyDescent="0.25">
      <c r="Z42" s="3">
        <f t="shared" si="5"/>
        <v>3.100000000000009</v>
      </c>
      <c r="AA42" s="11">
        <f t="shared" si="1"/>
        <v>7.9432823472426483E-4</v>
      </c>
      <c r="AB42" s="7">
        <f t="shared" si="2"/>
        <v>7.9416974540501869E-4</v>
      </c>
      <c r="AC42" s="1">
        <f t="shared" si="3"/>
        <v>58.8</v>
      </c>
      <c r="AD42" s="9">
        <f t="shared" si="4"/>
        <v>46.706500201786774</v>
      </c>
      <c r="AE42" s="9">
        <f t="shared" si="6"/>
        <v>46.697181029815098</v>
      </c>
    </row>
    <row r="43" spans="23:31" ht="18.75" customHeight="1" x14ac:dyDescent="0.25">
      <c r="Z43" s="3">
        <f t="shared" si="5"/>
        <v>3.0000000000000089</v>
      </c>
      <c r="AA43" s="11">
        <f t="shared" si="1"/>
        <v>9.9999999999997899E-4</v>
      </c>
      <c r="AB43" s="7">
        <f t="shared" si="2"/>
        <v>9.9984151068073296E-4</v>
      </c>
      <c r="AC43" s="1">
        <f t="shared" si="3"/>
        <v>58.8</v>
      </c>
      <c r="AD43" s="9">
        <f t="shared" si="4"/>
        <v>58.799999999998761</v>
      </c>
      <c r="AE43" s="9">
        <f t="shared" si="6"/>
        <v>58.790680828027099</v>
      </c>
    </row>
    <row r="44" spans="23:31" ht="18.75" customHeight="1" x14ac:dyDescent="0.25">
      <c r="Z44" s="3">
        <f t="shared" si="5"/>
        <v>2.9000000000000088</v>
      </c>
      <c r="AA44" s="11">
        <f t="shared" si="1"/>
        <v>1.2589254117941406E-3</v>
      </c>
      <c r="AB44" s="7">
        <f t="shared" si="2"/>
        <v>1.2587669224748946E-3</v>
      </c>
      <c r="AC44" s="1">
        <f t="shared" si="3"/>
        <v>58.8</v>
      </c>
      <c r="AD44" s="9">
        <f t="shared" si="4"/>
        <v>74.024814213495461</v>
      </c>
      <c r="AE44" s="9">
        <f t="shared" si="6"/>
        <v>74.015495041523792</v>
      </c>
    </row>
    <row r="45" spans="23:31" ht="18.75" customHeight="1" x14ac:dyDescent="0.25">
      <c r="W45" s="12">
        <f>AA45</f>
        <v>1.5848931924610813E-3</v>
      </c>
      <c r="Z45" s="3">
        <f t="shared" si="5"/>
        <v>2.8000000000000087</v>
      </c>
      <c r="AA45" s="11">
        <f t="shared" si="1"/>
        <v>1.5848931924610813E-3</v>
      </c>
      <c r="AB45" s="7">
        <f t="shared" si="2"/>
        <v>1.5847347031418353E-3</v>
      </c>
      <c r="AC45" s="1">
        <f t="shared" si="3"/>
        <v>58.8</v>
      </c>
      <c r="AD45" s="9">
        <f t="shared" si="4"/>
        <v>93.191719716711589</v>
      </c>
      <c r="AE45" s="9">
        <f t="shared" si="6"/>
        <v>93.18240054473992</v>
      </c>
    </row>
    <row r="46" spans="23:31" ht="18.75" customHeight="1" x14ac:dyDescent="0.25">
      <c r="Z46" s="3">
        <f t="shared" si="5"/>
        <v>2.7000000000000086</v>
      </c>
      <c r="AA46" s="11">
        <f t="shared" si="1"/>
        <v>1.995262314968839E-3</v>
      </c>
      <c r="AB46" s="7">
        <f t="shared" si="2"/>
        <v>1.9951038256495928E-3</v>
      </c>
      <c r="AC46" s="1">
        <f t="shared" si="3"/>
        <v>58.8</v>
      </c>
      <c r="AD46" s="9">
        <f t="shared" si="4"/>
        <v>117.32142412016773</v>
      </c>
      <c r="AE46" s="9">
        <f t="shared" si="6"/>
        <v>117.31210494819605</v>
      </c>
    </row>
    <row r="47" spans="23:31" ht="18.75" customHeight="1" x14ac:dyDescent="0.25">
      <c r="Z47" s="3">
        <f t="shared" si="5"/>
        <v>2.6000000000000085</v>
      </c>
      <c r="AA47" s="11">
        <f t="shared" si="1"/>
        <v>2.5118864315095287E-3</v>
      </c>
      <c r="AB47" s="7">
        <f t="shared" si="2"/>
        <v>2.5117279421902824E-3</v>
      </c>
      <c r="AC47" s="1">
        <f t="shared" si="3"/>
        <v>58.8</v>
      </c>
      <c r="AD47" s="9">
        <f t="shared" si="4"/>
        <v>147.69892217276029</v>
      </c>
      <c r="AE47" s="9">
        <f t="shared" si="6"/>
        <v>147.68960300078859</v>
      </c>
    </row>
    <row r="48" spans="23:31" ht="18.75" customHeight="1" x14ac:dyDescent="0.25">
      <c r="Z48" s="3">
        <f t="shared" si="5"/>
        <v>2.5000000000000084</v>
      </c>
      <c r="AA48" s="11">
        <f t="shared" si="1"/>
        <v>3.1622776601683169E-3</v>
      </c>
      <c r="AB48" s="7">
        <f t="shared" si="2"/>
        <v>3.1621191708490707E-3</v>
      </c>
      <c r="AC48" s="1">
        <f t="shared" si="3"/>
        <v>58.8</v>
      </c>
      <c r="AD48" s="9">
        <f t="shared" si="4"/>
        <v>185.94192641789704</v>
      </c>
      <c r="AE48" s="9">
        <f t="shared" si="6"/>
        <v>185.93260724592534</v>
      </c>
    </row>
    <row r="49" spans="26:31" ht="18.75" customHeight="1" x14ac:dyDescent="0.25">
      <c r="Z49" s="3">
        <f t="shared" si="5"/>
        <v>2.4000000000000083</v>
      </c>
      <c r="AA49" s="11">
        <f t="shared" si="1"/>
        <v>3.9810717055348936E-3</v>
      </c>
      <c r="AB49" s="7">
        <f t="shared" si="2"/>
        <v>3.9809132162156478E-3</v>
      </c>
      <c r="AC49" s="1">
        <f t="shared" si="3"/>
        <v>58.8</v>
      </c>
      <c r="AD49" s="9">
        <f t="shared" si="4"/>
        <v>234.08701628545174</v>
      </c>
      <c r="AE49" s="9">
        <f t="shared" si="6"/>
        <v>234.0776971134801</v>
      </c>
    </row>
    <row r="50" spans="26:31" ht="18.75" customHeight="1" x14ac:dyDescent="0.25">
      <c r="Z50" s="3">
        <f t="shared" si="5"/>
        <v>2.3000000000000083</v>
      </c>
      <c r="AA50" s="11">
        <f t="shared" si="1"/>
        <v>5.011872336272624E-3</v>
      </c>
      <c r="AB50" s="7">
        <f t="shared" si="2"/>
        <v>5.0117138469533782E-3</v>
      </c>
      <c r="AC50" s="1">
        <f t="shared" si="3"/>
        <v>58.8</v>
      </c>
      <c r="AD50" s="9">
        <f t="shared" si="4"/>
        <v>294.69809337283027</v>
      </c>
      <c r="AE50" s="9">
        <f t="shared" si="6"/>
        <v>294.68877420085863</v>
      </c>
    </row>
    <row r="51" spans="26:31" ht="18.75" customHeight="1" x14ac:dyDescent="0.25">
      <c r="Z51" s="3">
        <f t="shared" si="5"/>
        <v>2.2000000000000082</v>
      </c>
      <c r="AA51" s="11">
        <f t="shared" si="1"/>
        <v>6.3095734448018132E-3</v>
      </c>
      <c r="AB51" s="7">
        <f t="shared" si="2"/>
        <v>6.3094149554825674E-3</v>
      </c>
      <c r="AC51" s="1">
        <f t="shared" si="3"/>
        <v>58.8</v>
      </c>
      <c r="AD51" s="9">
        <f t="shared" si="4"/>
        <v>371.00291855434659</v>
      </c>
      <c r="AE51" s="9">
        <f t="shared" si="6"/>
        <v>370.9935993823749</v>
      </c>
    </row>
    <row r="52" spans="26:31" ht="18.75" customHeight="1" x14ac:dyDescent="0.25">
      <c r="Z52" s="3">
        <f t="shared" si="5"/>
        <v>2.1000000000000081</v>
      </c>
      <c r="AA52" s="11">
        <f t="shared" si="1"/>
        <v>7.9432823472426646E-3</v>
      </c>
      <c r="AB52" s="7">
        <f t="shared" si="2"/>
        <v>7.9431238579234179E-3</v>
      </c>
      <c r="AC52" s="1">
        <f t="shared" si="3"/>
        <v>58.8</v>
      </c>
      <c r="AD52" s="9">
        <f t="shared" si="4"/>
        <v>467.06500201786866</v>
      </c>
      <c r="AE52" s="9">
        <f t="shared" si="6"/>
        <v>467.05568284589691</v>
      </c>
    </row>
    <row r="53" spans="26:31" ht="18.75" customHeight="1" x14ac:dyDescent="0.25">
      <c r="Z53" s="3">
        <f t="shared" si="5"/>
        <v>2.000000000000008</v>
      </c>
      <c r="AA53" s="11">
        <f t="shared" si="1"/>
        <v>9.9999999999998094E-3</v>
      </c>
      <c r="AB53" s="7">
        <f t="shared" si="2"/>
        <v>9.9998415106805627E-3</v>
      </c>
      <c r="AC53" s="1">
        <f t="shared" si="3"/>
        <v>58.8</v>
      </c>
      <c r="AD53" s="9">
        <f t="shared" si="4"/>
        <v>587.99999999998875</v>
      </c>
      <c r="AE53" s="9">
        <f t="shared" si="6"/>
        <v>587.99068082801705</v>
      </c>
    </row>
    <row r="54" spans="26:31" ht="18.75" customHeight="1" x14ac:dyDescent="0.25">
      <c r="Z54" s="3">
        <f t="shared" ref="Z54:Z73" si="7">Z53-0.1</f>
        <v>1.9000000000000079</v>
      </c>
      <c r="AA54" s="11">
        <f t="shared" si="1"/>
        <v>1.2589254117941442E-2</v>
      </c>
      <c r="AB54" s="7">
        <f t="shared" si="2"/>
        <v>1.2589095628622196E-2</v>
      </c>
      <c r="AC54" s="1">
        <f t="shared" si="3"/>
        <v>58.8</v>
      </c>
      <c r="AD54" s="9">
        <f t="shared" ref="AD54:AD73" si="8">AA54*AC54*10^3</f>
        <v>740.24814213495677</v>
      </c>
      <c r="AE54" s="9">
        <f t="shared" ref="AE54:AE73" si="9">AB54*AC54*10^3</f>
        <v>740.23882296298507</v>
      </c>
    </row>
    <row r="55" spans="26:31" ht="18.75" customHeight="1" x14ac:dyDescent="0.25">
      <c r="Z55" s="3">
        <f t="shared" si="7"/>
        <v>1.8000000000000078</v>
      </c>
      <c r="AA55" s="11">
        <f t="shared" si="1"/>
        <v>1.5848931924610846E-2</v>
      </c>
      <c r="AB55" s="7">
        <f t="shared" si="2"/>
        <v>1.5848773435291601E-2</v>
      </c>
      <c r="AC55" s="1">
        <f t="shared" si="3"/>
        <v>58.8</v>
      </c>
      <c r="AD55" s="9">
        <f t="shared" si="8"/>
        <v>931.91719716711771</v>
      </c>
      <c r="AE55" s="9">
        <f t="shared" si="9"/>
        <v>931.90787799514612</v>
      </c>
    </row>
    <row r="56" spans="26:31" ht="18.75" customHeight="1" x14ac:dyDescent="0.25">
      <c r="Z56" s="3">
        <f t="shared" si="7"/>
        <v>1.7000000000000077</v>
      </c>
      <c r="AA56" s="11">
        <f t="shared" si="1"/>
        <v>1.9952623149688438E-2</v>
      </c>
      <c r="AB56" s="7">
        <f t="shared" si="2"/>
        <v>1.9952464660369193E-2</v>
      </c>
      <c r="AC56" s="1">
        <f t="shared" si="3"/>
        <v>58.8</v>
      </c>
      <c r="AD56" s="9">
        <f t="shared" si="8"/>
        <v>1173.2142412016801</v>
      </c>
      <c r="AE56" s="9">
        <f t="shared" si="9"/>
        <v>1173.2049220297085</v>
      </c>
    </row>
    <row r="57" spans="26:31" ht="18.75" customHeight="1" x14ac:dyDescent="0.25">
      <c r="Z57" s="3">
        <f t="shared" si="7"/>
        <v>1.6000000000000076</v>
      </c>
      <c r="AA57" s="11">
        <f t="shared" si="1"/>
        <v>2.5118864315095347E-2</v>
      </c>
      <c r="AB57" s="7">
        <f t="shared" si="2"/>
        <v>2.5118705825776102E-2</v>
      </c>
      <c r="AC57" s="1">
        <f t="shared" si="3"/>
        <v>58.8</v>
      </c>
      <c r="AD57" s="9">
        <f t="shared" si="8"/>
        <v>1476.9892217276065</v>
      </c>
      <c r="AE57" s="9">
        <f t="shared" si="9"/>
        <v>1476.9799025556347</v>
      </c>
    </row>
    <row r="58" spans="26:31" ht="18.75" customHeight="1" x14ac:dyDescent="0.25">
      <c r="Z58" s="3">
        <f t="shared" si="7"/>
        <v>1.5000000000000075</v>
      </c>
      <c r="AA58" s="11">
        <f t="shared" si="1"/>
        <v>3.1622776601683236E-2</v>
      </c>
      <c r="AB58" s="7">
        <f t="shared" si="2"/>
        <v>3.1622618112363991E-2</v>
      </c>
      <c r="AC58" s="1">
        <f t="shared" si="3"/>
        <v>58.8</v>
      </c>
      <c r="AD58" s="9">
        <f t="shared" si="8"/>
        <v>1859.4192641789741</v>
      </c>
      <c r="AE58" s="9">
        <f t="shared" si="9"/>
        <v>1859.4099450070025</v>
      </c>
    </row>
    <row r="59" spans="26:31" ht="18.75" customHeight="1" x14ac:dyDescent="0.25">
      <c r="Z59" s="3">
        <f t="shared" si="7"/>
        <v>1.4000000000000075</v>
      </c>
      <c r="AA59" s="11">
        <f t="shared" si="1"/>
        <v>3.9810717055349033E-2</v>
      </c>
      <c r="AB59" s="7">
        <f t="shared" si="2"/>
        <v>3.9810558566029788E-2</v>
      </c>
      <c r="AC59" s="1">
        <f t="shared" si="3"/>
        <v>58.8</v>
      </c>
      <c r="AD59" s="9">
        <f t="shared" si="8"/>
        <v>2340.8701628545232</v>
      </c>
      <c r="AE59" s="9">
        <f t="shared" si="9"/>
        <v>2340.8608436825516</v>
      </c>
    </row>
    <row r="60" spans="26:31" ht="18.75" customHeight="1" x14ac:dyDescent="0.25">
      <c r="Z60" s="3">
        <f t="shared" si="7"/>
        <v>1.3000000000000074</v>
      </c>
      <c r="AA60" s="11">
        <f t="shared" si="1"/>
        <v>5.011872336272636E-2</v>
      </c>
      <c r="AB60" s="7">
        <f t="shared" si="2"/>
        <v>5.0118564873407115E-2</v>
      </c>
      <c r="AC60" s="1">
        <f t="shared" si="3"/>
        <v>58.8</v>
      </c>
      <c r="AD60" s="9">
        <f t="shared" si="8"/>
        <v>2946.9809337283095</v>
      </c>
      <c r="AE60" s="9">
        <f t="shared" si="9"/>
        <v>2946.9716145563384</v>
      </c>
    </row>
    <row r="61" spans="26:31" ht="18.75" customHeight="1" x14ac:dyDescent="0.25">
      <c r="Z61" s="3">
        <f t="shared" si="7"/>
        <v>1.2000000000000073</v>
      </c>
      <c r="AA61" s="11">
        <f t="shared" si="1"/>
        <v>6.3095734448018262E-2</v>
      </c>
      <c r="AB61" s="7">
        <f t="shared" si="2"/>
        <v>6.309557595869901E-2</v>
      </c>
      <c r="AC61" s="1">
        <f t="shared" si="3"/>
        <v>58.8</v>
      </c>
      <c r="AD61" s="9">
        <f t="shared" si="8"/>
        <v>3710.0291855434734</v>
      </c>
      <c r="AE61" s="9">
        <f t="shared" si="9"/>
        <v>3710.0198663715014</v>
      </c>
    </row>
    <row r="62" spans="26:31" ht="18.75" customHeight="1" x14ac:dyDescent="0.25">
      <c r="Z62" s="3">
        <f t="shared" si="7"/>
        <v>1.1000000000000072</v>
      </c>
      <c r="AA62" s="11">
        <f t="shared" si="1"/>
        <v>7.9432823472426806E-2</v>
      </c>
      <c r="AB62" s="7">
        <f t="shared" si="2"/>
        <v>7.9432664983107554E-2</v>
      </c>
      <c r="AC62" s="1">
        <f t="shared" si="3"/>
        <v>58.8</v>
      </c>
      <c r="AD62" s="9">
        <f t="shared" si="8"/>
        <v>4670.6500201786966</v>
      </c>
      <c r="AE62" s="9">
        <f t="shared" si="9"/>
        <v>4670.6407010067242</v>
      </c>
    </row>
    <row r="63" spans="26:31" ht="18.75" customHeight="1" x14ac:dyDescent="0.25">
      <c r="Z63" s="3">
        <f t="shared" si="7"/>
        <v>1.0000000000000071</v>
      </c>
      <c r="AA63" s="11">
        <f t="shared" si="1"/>
        <v>9.9999999999998326E-2</v>
      </c>
      <c r="AB63" s="7">
        <f t="shared" si="2"/>
        <v>9.9999841510679074E-2</v>
      </c>
      <c r="AC63" s="1">
        <f t="shared" si="3"/>
        <v>58.8</v>
      </c>
      <c r="AD63" s="9">
        <f t="shared" si="8"/>
        <v>5879.9999999999009</v>
      </c>
      <c r="AE63" s="9">
        <f t="shared" si="9"/>
        <v>5879.9906808279293</v>
      </c>
    </row>
    <row r="64" spans="26:31" ht="18.75" customHeight="1" x14ac:dyDescent="0.25">
      <c r="Z64" s="3">
        <f t="shared" si="7"/>
        <v>0.90000000000000713</v>
      </c>
      <c r="AA64" s="11">
        <f t="shared" si="1"/>
        <v>0.12589254117941462</v>
      </c>
      <c r="AB64" s="7">
        <f t="shared" si="2"/>
        <v>0.12589238269009537</v>
      </c>
      <c r="AC64" s="1">
        <f t="shared" si="3"/>
        <v>58.8</v>
      </c>
      <c r="AD64" s="9">
        <f t="shared" si="8"/>
        <v>7402.4814213495793</v>
      </c>
      <c r="AE64" s="9">
        <f t="shared" si="9"/>
        <v>7402.4721021776068</v>
      </c>
    </row>
    <row r="65" spans="26:31" ht="18.75" customHeight="1" x14ac:dyDescent="0.25">
      <c r="Z65" s="3">
        <f t="shared" si="7"/>
        <v>0.80000000000000715</v>
      </c>
      <c r="AA65" s="11">
        <f t="shared" si="1"/>
        <v>0.15848931924610871</v>
      </c>
      <c r="AB65" s="7">
        <f t="shared" si="2"/>
        <v>0.15848916075678945</v>
      </c>
      <c r="AC65" s="1">
        <f t="shared" si="3"/>
        <v>58.8</v>
      </c>
      <c r="AD65" s="9">
        <f t="shared" si="8"/>
        <v>9319.1719716711923</v>
      </c>
      <c r="AE65" s="9">
        <f t="shared" si="9"/>
        <v>9319.1626524992189</v>
      </c>
    </row>
    <row r="66" spans="26:31" ht="18.75" customHeight="1" x14ac:dyDescent="0.25">
      <c r="Z66" s="3">
        <f t="shared" si="7"/>
        <v>0.70000000000000717</v>
      </c>
      <c r="AA66" s="11">
        <f t="shared" si="1"/>
        <v>0.19952623149688464</v>
      </c>
      <c r="AB66" s="7">
        <f t="shared" si="2"/>
        <v>0.19952607300756539</v>
      </c>
      <c r="AC66" s="1">
        <f t="shared" si="3"/>
        <v>58.8</v>
      </c>
      <c r="AD66" s="9">
        <f t="shared" si="8"/>
        <v>11732.142412016818</v>
      </c>
      <c r="AE66" s="9">
        <f t="shared" si="9"/>
        <v>11732.133092844844</v>
      </c>
    </row>
    <row r="67" spans="26:31" ht="18.75" customHeight="1" x14ac:dyDescent="0.25">
      <c r="Z67" s="3">
        <f t="shared" si="7"/>
        <v>0.60000000000000719</v>
      </c>
      <c r="AA67" s="11">
        <f t="shared" si="1"/>
        <v>0.25118864315095385</v>
      </c>
      <c r="AB67" s="7">
        <f t="shared" si="2"/>
        <v>0.25118848466163463</v>
      </c>
      <c r="AC67" s="1">
        <f t="shared" si="3"/>
        <v>58.8</v>
      </c>
      <c r="AD67" s="9">
        <f t="shared" si="8"/>
        <v>14769.892217276085</v>
      </c>
      <c r="AE67" s="9">
        <f t="shared" si="9"/>
        <v>14769.882898104115</v>
      </c>
    </row>
    <row r="68" spans="26:31" ht="18.75" customHeight="1" x14ac:dyDescent="0.25">
      <c r="Z68" s="3">
        <f t="shared" si="7"/>
        <v>0.50000000000000722</v>
      </c>
      <c r="AA68" s="11">
        <f t="shared" si="1"/>
        <v>0.31622776601683261</v>
      </c>
      <c r="AB68" s="7">
        <f t="shared" si="2"/>
        <v>0.31622760752751339</v>
      </c>
      <c r="AC68" s="1">
        <f t="shared" si="3"/>
        <v>58.8</v>
      </c>
      <c r="AD68" s="9">
        <f t="shared" si="8"/>
        <v>18594.192641789756</v>
      </c>
      <c r="AE68" s="9">
        <f t="shared" si="9"/>
        <v>18594.183322617788</v>
      </c>
    </row>
    <row r="69" spans="26:31" ht="18.75" customHeight="1" x14ac:dyDescent="0.25">
      <c r="Z69" s="3">
        <f t="shared" si="7"/>
        <v>0.40000000000000724</v>
      </c>
      <c r="AA69" s="11">
        <f t="shared" si="1"/>
        <v>0.39810717055349054</v>
      </c>
      <c r="AB69" s="7">
        <f t="shared" si="2"/>
        <v>0.39810701206417132</v>
      </c>
      <c r="AC69" s="1">
        <f t="shared" si="3"/>
        <v>58.8</v>
      </c>
      <c r="AD69" s="9">
        <f t="shared" si="8"/>
        <v>23408.701628545241</v>
      </c>
      <c r="AE69" s="9">
        <f t="shared" si="9"/>
        <v>23408.692309373273</v>
      </c>
    </row>
    <row r="70" spans="26:31" ht="18.75" customHeight="1" x14ac:dyDescent="0.25">
      <c r="Z70" s="3">
        <f t="shared" si="7"/>
        <v>0.30000000000000726</v>
      </c>
      <c r="AA70" s="11">
        <f>(10^-Z70)</f>
        <v>0.50118723362726392</v>
      </c>
      <c r="AB70" s="7">
        <f>(10^-Z70-10^-$AB$2)</f>
        <v>0.50118707513794469</v>
      </c>
      <c r="AC70" s="1">
        <f>62*(4/5)+46/5</f>
        <v>58.8</v>
      </c>
      <c r="AD70" s="9">
        <f t="shared" si="8"/>
        <v>29469.809337283117</v>
      </c>
      <c r="AE70" s="9">
        <f t="shared" si="9"/>
        <v>29469.800018111149</v>
      </c>
    </row>
    <row r="71" spans="26:31" ht="18.75" customHeight="1" x14ac:dyDescent="0.25">
      <c r="Z71" s="3">
        <f t="shared" si="7"/>
        <v>0.20000000000000726</v>
      </c>
      <c r="AA71" s="11">
        <f>(10^-Z71)</f>
        <v>0.6309573444801827</v>
      </c>
      <c r="AB71" s="7">
        <f>(10^-Z71-10^-$AB$2)</f>
        <v>0.63095718599086348</v>
      </c>
      <c r="AC71" s="1">
        <f>62*(4/5)+46/5</f>
        <v>58.8</v>
      </c>
      <c r="AD71" s="9">
        <f t="shared" si="8"/>
        <v>37100.291855434742</v>
      </c>
      <c r="AE71" s="9">
        <f t="shared" si="9"/>
        <v>37100.28253626277</v>
      </c>
    </row>
    <row r="72" spans="26:31" ht="18.75" customHeight="1" x14ac:dyDescent="0.25">
      <c r="Z72" s="3">
        <f t="shared" si="7"/>
        <v>0.10000000000000725</v>
      </c>
      <c r="AA72" s="11">
        <f>(10^-Z72)</f>
        <v>0.79432823472426817</v>
      </c>
      <c r="AB72" s="7">
        <f>(10^-Z72-10^-$AB$2)</f>
        <v>0.79432807623494894</v>
      </c>
      <c r="AC72" s="1">
        <f>62*(4/5)+46/5</f>
        <v>58.8</v>
      </c>
      <c r="AD72" s="9">
        <f t="shared" si="8"/>
        <v>46706.500201786963</v>
      </c>
      <c r="AE72" s="9">
        <f t="shared" si="9"/>
        <v>46706.490882614991</v>
      </c>
    </row>
    <row r="73" spans="26:31" ht="18.75" customHeight="1" x14ac:dyDescent="0.25">
      <c r="Z73" s="3">
        <f t="shared" si="7"/>
        <v>7.2442052356791464E-15</v>
      </c>
      <c r="AA73" s="11">
        <f>(10^-Z73)</f>
        <v>0.99999999999998335</v>
      </c>
      <c r="AB73" s="7">
        <f>(10^-Z73-10^-$AB$2)</f>
        <v>0.99999984151066412</v>
      </c>
      <c r="AC73" s="1">
        <f>62*(4/5)+46/5</f>
        <v>58.8</v>
      </c>
      <c r="AD73" s="9">
        <f t="shared" si="8"/>
        <v>58799.999999999018</v>
      </c>
      <c r="AE73" s="9">
        <f t="shared" si="9"/>
        <v>58799.990680827053</v>
      </c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31D65-754D-4BD0-ABD9-E1331F290E2A}">
  <dimension ref="B2:AE76"/>
  <sheetViews>
    <sheetView showGridLines="0" zoomScaleNormal="100" workbookViewId="0">
      <selection activeCell="C36" sqref="C36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v>170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0.70433130699088176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" t="s">
        <v>8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(C31*C32+C35)/1000</f>
        <v>6.2400000000000004E-2</v>
      </c>
      <c r="D11" s="1" t="s">
        <v>6</v>
      </c>
      <c r="E11" s="1">
        <f>C11*100</f>
        <v>6.24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3.2400000000000005E-2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3.1200000000000004E-3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1.6200000000000003E-3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14.086626139817634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7.3142097264437718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0.70433130699088176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1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2.7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Z33" s="3"/>
      <c r="AA33" s="11"/>
      <c r="AB33" s="7"/>
      <c r="AE33" s="9"/>
    </row>
    <row r="34" spans="2:31" ht="18.75" customHeight="1" x14ac:dyDescent="0.25">
      <c r="B34" s="1" t="s">
        <v>39</v>
      </c>
      <c r="Z34" s="3"/>
      <c r="AA34" s="11"/>
      <c r="AB34" s="7"/>
      <c r="AE34" s="9"/>
    </row>
    <row r="35" spans="2:31" ht="18.75" customHeight="1" x14ac:dyDescent="0.25">
      <c r="C35" s="1">
        <v>30</v>
      </c>
      <c r="D35" s="1" t="s">
        <v>40</v>
      </c>
      <c r="Z35" s="3"/>
      <c r="AA35" s="11"/>
      <c r="AB35" s="7"/>
      <c r="AE35" s="9"/>
    </row>
    <row r="36" spans="2:31" ht="18.75" customHeight="1" x14ac:dyDescent="0.25">
      <c r="Z36" s="3"/>
      <c r="AA36" s="11"/>
      <c r="AB36" s="7"/>
      <c r="AE36" s="9"/>
    </row>
    <row r="37" spans="2:31" ht="18.75" customHeight="1" x14ac:dyDescent="0.25">
      <c r="Z37" s="3"/>
      <c r="AA37" s="11"/>
      <c r="AB37" s="7"/>
      <c r="AE37" s="9"/>
    </row>
    <row r="38" spans="2:31" ht="18.75" customHeight="1" x14ac:dyDescent="0.25"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6CEE-159D-43FB-983C-6EFE11BE7756}">
  <dimension ref="B2:AE76"/>
  <sheetViews>
    <sheetView showGridLines="0" zoomScaleNormal="100" workbookViewId="0">
      <selection activeCell="L7" sqref="L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f>D4+D5</f>
        <v>160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1.2867591185410339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0.114</v>
      </c>
      <c r="D11" s="1" t="s">
        <v>6</v>
      </c>
      <c r="E11" s="1">
        <f>C11*100</f>
        <v>11.4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4.4400000000000009E-2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5.7000000000000002E-3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2.2200000000000006E-3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25.735182370820674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10.023176291793318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1.2867591185410339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3.7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C33" s="1">
        <f>C31*C32</f>
        <v>44.400000000000006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5.8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38</v>
      </c>
      <c r="C38" s="1">
        <f>C36*C37</f>
        <v>69.599999999999994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CE3D0-2EA6-4BFA-965F-8F28EF980B27}">
  <dimension ref="B2:AL118"/>
  <sheetViews>
    <sheetView showGridLines="0" zoomScaleNormal="100" workbookViewId="0">
      <selection activeCell="F17" sqref="F1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0" width="9.140625" style="1"/>
    <col min="11" max="12" width="11.28515625" style="1" customWidth="1"/>
    <col min="13" max="13" width="2.28515625" style="1" customWidth="1"/>
    <col min="14" max="16" width="11.28515625" style="1" customWidth="1"/>
    <col min="17" max="17" width="2.28515625" style="1" customWidth="1"/>
    <col min="18" max="20" width="11.28515625" style="1" customWidth="1"/>
    <col min="21" max="21" width="2.28515625" style="1" customWidth="1"/>
    <col min="22" max="24" width="11.28515625" style="1" customWidth="1"/>
    <col min="25" max="26" width="9.140625" style="1"/>
    <col min="27" max="27" width="19.140625" style="1" bestFit="1" customWidth="1"/>
    <col min="28" max="33" width="9.140625" style="1"/>
    <col min="34" max="34" width="12" style="1" bestFit="1" customWidth="1"/>
    <col min="35" max="35" width="9.140625" style="9"/>
    <col min="36" max="36" width="9.140625" style="1"/>
    <col min="37" max="37" width="9.140625" style="9"/>
    <col min="38" max="16384" width="9.140625" style="1"/>
  </cols>
  <sheetData>
    <row r="2" spans="2:38" ht="17.25" customHeight="1" x14ac:dyDescent="0.25">
      <c r="D2" s="1" t="s">
        <v>2</v>
      </c>
      <c r="E2" s="1" t="s">
        <v>16</v>
      </c>
      <c r="F2" s="1" t="s">
        <v>17</v>
      </c>
      <c r="AI2" s="10"/>
    </row>
    <row r="3" spans="2:38" ht="18.75" customHeight="1" x14ac:dyDescent="0.25">
      <c r="D3" s="1">
        <f>D4+D5</f>
        <v>510</v>
      </c>
    </row>
    <row r="4" spans="2:38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K4" s="29" t="s">
        <v>3</v>
      </c>
      <c r="L4" s="17"/>
      <c r="N4" s="29" t="s">
        <v>56</v>
      </c>
      <c r="O4" s="16"/>
      <c r="P4" s="17"/>
      <c r="R4" s="29" t="s">
        <v>55</v>
      </c>
      <c r="S4" s="30"/>
      <c r="T4" s="17"/>
      <c r="V4" s="29" t="s">
        <v>53</v>
      </c>
      <c r="W4" s="16"/>
      <c r="X4" s="17"/>
      <c r="AA4" s="1" t="s">
        <v>42</v>
      </c>
      <c r="AC4" s="3">
        <f>C20</f>
        <v>0.87971452764001479</v>
      </c>
      <c r="AD4" s="1" t="s">
        <v>44</v>
      </c>
    </row>
    <row r="5" spans="2:38" ht="18.75" customHeight="1" x14ac:dyDescent="0.25">
      <c r="B5" s="1" t="s">
        <v>1</v>
      </c>
      <c r="C5" s="1" t="s">
        <v>15</v>
      </c>
      <c r="D5" s="1">
        <v>500</v>
      </c>
      <c r="E5" s="3">
        <f>14/(14+16*3)</f>
        <v>0.22580645161290322</v>
      </c>
      <c r="F5" s="4">
        <f>D5*E5</f>
        <v>112.90322580645162</v>
      </c>
      <c r="K5" s="18" t="s">
        <v>4</v>
      </c>
      <c r="L5" s="20" t="s">
        <v>54</v>
      </c>
      <c r="N5" s="18" t="s">
        <v>38</v>
      </c>
      <c r="O5" s="19" t="s">
        <v>39</v>
      </c>
      <c r="P5" s="20" t="s">
        <v>18</v>
      </c>
      <c r="R5" s="18" t="s">
        <v>2</v>
      </c>
      <c r="S5" s="31" t="s">
        <v>17</v>
      </c>
      <c r="T5" s="20" t="s">
        <v>13</v>
      </c>
      <c r="V5" s="18" t="s">
        <v>38</v>
      </c>
      <c r="W5" s="19" t="s">
        <v>39</v>
      </c>
      <c r="X5" s="20" t="s">
        <v>18</v>
      </c>
      <c r="AA5" s="1" t="s">
        <v>43</v>
      </c>
      <c r="AC5" s="3" t="str">
        <f>ROUND(0.4/0.46,2)&amp;" - "&amp;ROUND(0.6/0.46,2)</f>
        <v>0.87 - 1.3</v>
      </c>
      <c r="AD5" s="1" t="s">
        <v>44</v>
      </c>
      <c r="AG5" s="3"/>
      <c r="AH5" s="11"/>
      <c r="AI5" s="7"/>
      <c r="AL5" s="9"/>
    </row>
    <row r="6" spans="2:38" ht="18.75" customHeight="1" x14ac:dyDescent="0.25">
      <c r="B6" s="1" t="s">
        <v>18</v>
      </c>
      <c r="F6" s="4">
        <f>F5+F4</f>
        <v>115.94670406732118</v>
      </c>
      <c r="AG6" s="3"/>
      <c r="AH6" s="11"/>
      <c r="AI6" s="7"/>
      <c r="AL6" s="9"/>
    </row>
    <row r="7" spans="2:38" ht="18.75" customHeight="1" x14ac:dyDescent="0.25">
      <c r="B7" s="1" t="s">
        <v>7</v>
      </c>
      <c r="C7" s="1">
        <v>6</v>
      </c>
      <c r="D7" s="13" t="s">
        <v>51</v>
      </c>
      <c r="K7" s="21">
        <v>1</v>
      </c>
      <c r="L7" s="22">
        <f>K7/60</f>
        <v>1.6666666666666666E-2</v>
      </c>
      <c r="M7" s="2"/>
      <c r="N7" s="21">
        <f>3.6*12</f>
        <v>43.2</v>
      </c>
      <c r="O7" s="26">
        <f>12*6.4</f>
        <v>76.800000000000011</v>
      </c>
      <c r="P7" s="27">
        <f>N7+O7</f>
        <v>120.00000000000001</v>
      </c>
      <c r="R7" s="21">
        <v>27</v>
      </c>
      <c r="S7" s="32">
        <f>R7*0.23</f>
        <v>6.21</v>
      </c>
      <c r="T7" s="27">
        <f>S7*$C$7/1000</f>
        <v>3.7260000000000001E-2</v>
      </c>
      <c r="V7" s="34">
        <f>IFERROR((N7*L7/1000)/(T7/1000),"")</f>
        <v>19.323671497584542</v>
      </c>
      <c r="W7" s="35">
        <f>IFERROR((O7*L7/1000)/(T7/1000),"")</f>
        <v>34.353193773483639</v>
      </c>
      <c r="X7" s="36">
        <f>IFERROR((P7*L7/1000)/(T7/1000),"")</f>
        <v>53.676865271068174</v>
      </c>
      <c r="AG7" s="3"/>
      <c r="AH7" s="11"/>
      <c r="AI7" s="7"/>
      <c r="AL7" s="9"/>
    </row>
    <row r="8" spans="2:38" ht="18.75" customHeight="1" x14ac:dyDescent="0.25">
      <c r="B8" s="1" t="s">
        <v>9</v>
      </c>
      <c r="C8" s="6">
        <f>(C7*F6)/1000</f>
        <v>0.69568022440392696</v>
      </c>
      <c r="D8" s="1" t="s">
        <v>13</v>
      </c>
      <c r="E8" s="1">
        <f>C8*6*1000</f>
        <v>4174.0813464235616</v>
      </c>
      <c r="K8" s="23">
        <v>2</v>
      </c>
      <c r="L8" s="24">
        <f>K8/60</f>
        <v>3.3333333333333333E-2</v>
      </c>
      <c r="M8" s="2"/>
      <c r="N8" s="23">
        <f>3.6*12</f>
        <v>43.2</v>
      </c>
      <c r="O8" s="15">
        <f>12*6.4</f>
        <v>76.800000000000011</v>
      </c>
      <c r="P8" s="28">
        <f>N8+O8</f>
        <v>120.00000000000001</v>
      </c>
      <c r="R8" s="23">
        <v>23</v>
      </c>
      <c r="S8" s="33">
        <f>R8*0.23</f>
        <v>5.29</v>
      </c>
      <c r="T8" s="28">
        <f>S8*$C$7/1000</f>
        <v>3.1740000000000004E-2</v>
      </c>
      <c r="V8" s="37">
        <f>IFERROR((N8*L8/1000)/(T8/1000),"")</f>
        <v>45.368620037807183</v>
      </c>
      <c r="W8" s="38">
        <f>IFERROR((O8*L8/1000)/(T8/1000),"")</f>
        <v>80.655324511657227</v>
      </c>
      <c r="X8" s="39">
        <f>IFERROR((P8*L8/1000)/(T8/1000),"")</f>
        <v>126.02394454946439</v>
      </c>
      <c r="AG8" s="3"/>
      <c r="AH8" s="11"/>
      <c r="AI8" s="7"/>
      <c r="AL8" s="9"/>
    </row>
    <row r="9" spans="2:38" ht="18.75" customHeight="1" x14ac:dyDescent="0.25">
      <c r="K9" s="23">
        <v>3</v>
      </c>
      <c r="L9" s="24">
        <f>K9/60</f>
        <v>0.05</v>
      </c>
      <c r="M9" s="2"/>
      <c r="N9" s="23">
        <f>3.6*12</f>
        <v>43.2</v>
      </c>
      <c r="O9" s="15">
        <f>12*6.4</f>
        <v>76.800000000000011</v>
      </c>
      <c r="P9" s="28">
        <f>N9+O9</f>
        <v>120.00000000000001</v>
      </c>
      <c r="R9" s="23">
        <v>45</v>
      </c>
      <c r="S9" s="33">
        <f>R9*0.23</f>
        <v>10.35</v>
      </c>
      <c r="T9" s="28">
        <f>S9*$C$7/1000</f>
        <v>6.2099999999999995E-2</v>
      </c>
      <c r="V9" s="37">
        <f>IFERROR((N9*L9/1000)/(T9/1000),"")</f>
        <v>34.782608695652179</v>
      </c>
      <c r="W9" s="38">
        <f>IFERROR((O9*L9/1000)/(T9/1000),"")</f>
        <v>61.83574879227055</v>
      </c>
      <c r="X9" s="39">
        <f>IFERROR((P9*L9/1000)/(T9/1000),"")</f>
        <v>96.618357487922736</v>
      </c>
      <c r="AG9" s="3"/>
      <c r="AH9" s="11"/>
      <c r="AI9" s="7"/>
      <c r="AL9" s="9"/>
    </row>
    <row r="10" spans="2:38" ht="18.75" customHeight="1" x14ac:dyDescent="0.25">
      <c r="B10" s="1" t="s">
        <v>3</v>
      </c>
      <c r="C10" s="1">
        <v>3</v>
      </c>
      <c r="D10" s="1" t="s">
        <v>4</v>
      </c>
      <c r="K10" s="23">
        <v>4</v>
      </c>
      <c r="L10" s="24">
        <f>K10/60</f>
        <v>6.6666666666666666E-2</v>
      </c>
      <c r="M10" s="2"/>
      <c r="N10" s="23">
        <f>3.6*12</f>
        <v>43.2</v>
      </c>
      <c r="O10" s="15">
        <f>12*6.4</f>
        <v>76.800000000000011</v>
      </c>
      <c r="P10" s="28">
        <f>N10+O10</f>
        <v>120.00000000000001</v>
      </c>
      <c r="R10" s="23">
        <v>20</v>
      </c>
      <c r="S10" s="33">
        <f>R10*0.23</f>
        <v>4.6000000000000005</v>
      </c>
      <c r="T10" s="28">
        <f>S10*$C$7/1000</f>
        <v>2.7600000000000003E-2</v>
      </c>
      <c r="V10" s="37">
        <f>IFERROR((N10*L10/1000)/(T10/1000),"")</f>
        <v>104.34782608695652</v>
      </c>
      <c r="W10" s="38">
        <f>IFERROR((O10*L10/1000)/(T10/1000),"")</f>
        <v>185.50724637681162</v>
      </c>
      <c r="X10" s="39">
        <f>IFERROR((P10*L10/1000)/(T10/1000),"")</f>
        <v>289.85507246376807</v>
      </c>
      <c r="AG10" s="3"/>
      <c r="AH10" s="11"/>
      <c r="AI10" s="7"/>
      <c r="AL10" s="9"/>
    </row>
    <row r="11" spans="2:38" ht="18.75" customHeight="1" x14ac:dyDescent="0.25">
      <c r="B11" s="1" t="s">
        <v>47</v>
      </c>
      <c r="C11" s="1">
        <f>(C33+C38)/1000</f>
        <v>0.24480000000000002</v>
      </c>
      <c r="D11" s="1" t="s">
        <v>6</v>
      </c>
      <c r="E11" s="1">
        <f>C11*100</f>
        <v>24.48</v>
      </c>
      <c r="K11" s="18">
        <v>5</v>
      </c>
      <c r="L11" s="25">
        <f>K11/60</f>
        <v>8.3333333333333329E-2</v>
      </c>
      <c r="M11" s="2"/>
      <c r="N11" s="18">
        <f>3.6*12</f>
        <v>43.2</v>
      </c>
      <c r="O11" s="19">
        <f>12*6.4</f>
        <v>76.800000000000011</v>
      </c>
      <c r="P11" s="20">
        <f>N11+O11</f>
        <v>120.00000000000001</v>
      </c>
      <c r="R11" s="18">
        <v>150</v>
      </c>
      <c r="S11" s="31">
        <f>R11*0.23</f>
        <v>34.5</v>
      </c>
      <c r="T11" s="20">
        <f>S11*$C$7/1000</f>
        <v>0.20699999999999999</v>
      </c>
      <c r="V11" s="40">
        <f>IFERROR((N11*L11/1000)/(T11/1000),"")</f>
        <v>17.391304347826086</v>
      </c>
      <c r="W11" s="41">
        <f>IFERROR((O11*L11/1000)/(T11/1000),"")</f>
        <v>30.917874396135268</v>
      </c>
      <c r="X11" s="42">
        <f>IFERROR((P11*L11/1000)/(T11/1000),"")</f>
        <v>48.309178743961354</v>
      </c>
      <c r="AG11" s="3"/>
      <c r="AH11" s="11"/>
      <c r="AI11" s="7"/>
      <c r="AL11" s="9"/>
    </row>
    <row r="12" spans="2:38" ht="18.75" customHeight="1" x14ac:dyDescent="0.25">
      <c r="B12" s="1" t="s">
        <v>48</v>
      </c>
      <c r="C12" s="1">
        <f>(C31*C32)/1000</f>
        <v>0.16800000000000001</v>
      </c>
      <c r="D12" s="1" t="s">
        <v>6</v>
      </c>
      <c r="AG12" s="3"/>
      <c r="AH12" s="11"/>
      <c r="AI12" s="7"/>
      <c r="AL12" s="9"/>
    </row>
    <row r="13" spans="2:38" ht="18.75" customHeight="1" x14ac:dyDescent="0.25">
      <c r="AG13" s="3"/>
      <c r="AH13" s="11"/>
      <c r="AI13" s="7"/>
      <c r="AL13" s="9"/>
    </row>
    <row r="14" spans="2:38" ht="18.75" customHeight="1" x14ac:dyDescent="0.25">
      <c r="B14" s="5" t="s">
        <v>21</v>
      </c>
      <c r="K14" s="1" t="s">
        <v>64</v>
      </c>
      <c r="L14" s="9">
        <f>101335</f>
        <v>101335</v>
      </c>
      <c r="AG14" s="3"/>
      <c r="AH14" s="11"/>
      <c r="AI14" s="7"/>
      <c r="AL14" s="9"/>
    </row>
    <row r="15" spans="2:38" ht="18.75" customHeight="1" x14ac:dyDescent="0.25">
      <c r="B15" s="1" t="s">
        <v>49</v>
      </c>
      <c r="C15" s="2">
        <f>(C10/60)*C11</f>
        <v>1.2240000000000001E-2</v>
      </c>
      <c r="D15" s="1" t="s">
        <v>26</v>
      </c>
      <c r="K15" s="1" t="s">
        <v>69</v>
      </c>
      <c r="L15" s="7">
        <v>6.0220000000000003E+23</v>
      </c>
      <c r="AG15" s="3"/>
      <c r="AH15" s="11"/>
      <c r="AI15" s="7"/>
      <c r="AL15" s="9"/>
    </row>
    <row r="16" spans="2:38" ht="18.75" customHeight="1" x14ac:dyDescent="0.25">
      <c r="B16" s="1" t="s">
        <v>50</v>
      </c>
      <c r="C16" s="2">
        <f>(C10/60)*C12</f>
        <v>8.4000000000000012E-3</v>
      </c>
      <c r="D16" s="1" t="s">
        <v>26</v>
      </c>
      <c r="K16" s="1" t="s">
        <v>70</v>
      </c>
      <c r="L16" s="1">
        <v>8.3140000000000001</v>
      </c>
      <c r="AG16" s="3"/>
      <c r="AH16" s="11"/>
      <c r="AI16" s="7"/>
      <c r="AL16" s="9"/>
    </row>
    <row r="17" spans="2:38" ht="18.75" customHeight="1" x14ac:dyDescent="0.25">
      <c r="B17" s="1" t="s">
        <v>45</v>
      </c>
      <c r="C17" s="6">
        <f>C15/(C8/1000)</f>
        <v>17.594290552800295</v>
      </c>
      <c r="D17" s="1" t="s">
        <v>10</v>
      </c>
      <c r="K17" s="1" t="s">
        <v>74</v>
      </c>
      <c r="L17" s="1">
        <v>1.0089999999999999</v>
      </c>
      <c r="AB17" t="s">
        <v>60</v>
      </c>
      <c r="AC17" t="s">
        <v>61</v>
      </c>
      <c r="AG17" s="3"/>
      <c r="AH17" s="11"/>
      <c r="AI17" s="7"/>
      <c r="AL17" s="9"/>
    </row>
    <row r="18" spans="2:38" ht="18.75" customHeight="1" x14ac:dyDescent="0.25">
      <c r="B18" s="1" t="s">
        <v>46</v>
      </c>
      <c r="C18" s="6">
        <f>C16/(C8/1000)</f>
        <v>12.074513124470792</v>
      </c>
      <c r="D18" s="1" t="s">
        <v>10</v>
      </c>
      <c r="K18" s="1" t="s">
        <v>75</v>
      </c>
      <c r="L18" s="1">
        <v>1.87</v>
      </c>
      <c r="AB18">
        <v>0</v>
      </c>
      <c r="AC18">
        <v>0.61129</v>
      </c>
      <c r="AG18" s="3"/>
      <c r="AH18" s="11"/>
      <c r="AI18" s="7"/>
      <c r="AL18" s="9"/>
    </row>
    <row r="19" spans="2:38" ht="18.75" customHeight="1" x14ac:dyDescent="0.25">
      <c r="B19" s="1" t="s">
        <v>11</v>
      </c>
      <c r="C19" s="1">
        <v>0.05</v>
      </c>
      <c r="K19" s="1" t="s">
        <v>84</v>
      </c>
      <c r="L19" s="1">
        <v>4.1859999999999999</v>
      </c>
      <c r="AB19">
        <v>1</v>
      </c>
      <c r="AC19">
        <v>0.65715999999999997</v>
      </c>
      <c r="AG19" s="3"/>
      <c r="AH19" s="11"/>
      <c r="AI19" s="7"/>
      <c r="AL19" s="9"/>
    </row>
    <row r="20" spans="2:38" ht="18.75" customHeight="1" x14ac:dyDescent="0.25">
      <c r="B20" s="1" t="s">
        <v>12</v>
      </c>
      <c r="C20" s="3">
        <f>C17*C19</f>
        <v>0.87971452764001479</v>
      </c>
      <c r="D20" s="1" t="s">
        <v>41</v>
      </c>
      <c r="E20" s="5"/>
      <c r="K20" s="1" t="s">
        <v>84</v>
      </c>
      <c r="L20" s="1">
        <v>2260</v>
      </c>
      <c r="AB20">
        <v>2</v>
      </c>
      <c r="AC20">
        <v>0.70604999999999996</v>
      </c>
      <c r="AG20" s="3"/>
      <c r="AH20" s="11"/>
      <c r="AI20" s="7"/>
      <c r="AL20" s="9"/>
    </row>
    <row r="21" spans="2:38" ht="18.75" customHeight="1" x14ac:dyDescent="0.25">
      <c r="O21" s="7"/>
      <c r="AB21">
        <v>3</v>
      </c>
      <c r="AC21">
        <v>0.75812999999999997</v>
      </c>
      <c r="AG21" s="3"/>
      <c r="AH21" s="11"/>
      <c r="AI21" s="7"/>
      <c r="AL21" s="9"/>
    </row>
    <row r="22" spans="2:38" ht="18.75" customHeight="1" x14ac:dyDescent="0.25">
      <c r="B22" s="5" t="s">
        <v>22</v>
      </c>
      <c r="C22" s="5"/>
      <c r="D22" s="5"/>
      <c r="K22" s="5" t="s">
        <v>67</v>
      </c>
      <c r="AB22">
        <v>4</v>
      </c>
      <c r="AC22">
        <v>0.81359000000000004</v>
      </c>
      <c r="AG22" s="3"/>
      <c r="AH22" s="11"/>
      <c r="AI22" s="7"/>
      <c r="AL22" s="9"/>
    </row>
    <row r="23" spans="2:38" ht="18.75" customHeight="1" x14ac:dyDescent="0.25">
      <c r="B23" s="1" t="s">
        <v>9</v>
      </c>
      <c r="C23" s="3">
        <f>(1440/C10)*C8/1000</f>
        <v>0.33392650771388493</v>
      </c>
      <c r="D23" s="1" t="s">
        <v>19</v>
      </c>
      <c r="K23" s="1" t="s">
        <v>62</v>
      </c>
      <c r="L23" s="1">
        <v>20</v>
      </c>
      <c r="AB23">
        <v>5</v>
      </c>
      <c r="AC23">
        <v>0.87260000000000004</v>
      </c>
      <c r="AG23" s="3"/>
      <c r="AH23" s="11"/>
      <c r="AI23" s="7"/>
      <c r="AL23" s="9"/>
    </row>
    <row r="24" spans="2:38" ht="18.75" customHeight="1" x14ac:dyDescent="0.25">
      <c r="C24" s="4">
        <f>C23*365</f>
        <v>121.883175315568</v>
      </c>
      <c r="D24" s="1" t="s">
        <v>20</v>
      </c>
      <c r="E24" s="1">
        <f>C24*100</f>
        <v>12188.317531556801</v>
      </c>
      <c r="K24" s="1" t="s">
        <v>65</v>
      </c>
      <c r="L24" s="9">
        <f>VLOOKUP(L23,$AB$18:$AC$118,2,FALSE)*1000</f>
        <v>2338.8000000000002</v>
      </c>
      <c r="AB24">
        <v>6</v>
      </c>
      <c r="AC24">
        <v>0.93537000000000003</v>
      </c>
      <c r="AG24" s="3"/>
      <c r="AH24" s="11"/>
      <c r="AI24" s="7"/>
      <c r="AL24" s="9"/>
    </row>
    <row r="25" spans="2:38" ht="18.75" customHeight="1" x14ac:dyDescent="0.25">
      <c r="K25" s="1" t="s">
        <v>71</v>
      </c>
      <c r="L25" s="44">
        <f>($L$14*0.78/$L$16)/(($L$14/$L$16)+($L$24/$L$16))</f>
        <v>0.76240380886974335</v>
      </c>
      <c r="AB25">
        <v>7</v>
      </c>
      <c r="AC25">
        <v>1.0021</v>
      </c>
      <c r="AG25" s="3"/>
      <c r="AH25" s="11"/>
      <c r="AI25" s="7"/>
      <c r="AL25" s="9"/>
    </row>
    <row r="26" spans="2:38" ht="18.75" customHeight="1" x14ac:dyDescent="0.25">
      <c r="K26" s="1" t="s">
        <v>72</v>
      </c>
      <c r="L26" s="44">
        <f>($L$14*0.22/$L$16)/(($L$14/$L$16)+($L$24/$L$16))</f>
        <v>0.21503697173249176</v>
      </c>
      <c r="AB26">
        <v>8</v>
      </c>
      <c r="AC26">
        <v>1.073</v>
      </c>
      <c r="AG26" s="3"/>
      <c r="AH26" s="11"/>
      <c r="AI26" s="7"/>
      <c r="AL26" s="9"/>
    </row>
    <row r="27" spans="2:38" ht="18.75" customHeight="1" x14ac:dyDescent="0.25">
      <c r="K27" s="1" t="s">
        <v>73</v>
      </c>
      <c r="L27" s="44">
        <f>($L$24/$L$16)/(($L$14/$L$16)+($L$24/$L$16))</f>
        <v>2.2559219397764913E-2</v>
      </c>
      <c r="AB27">
        <v>9</v>
      </c>
      <c r="AC27">
        <v>1.1482000000000001</v>
      </c>
      <c r="AG27" s="3"/>
      <c r="AH27" s="11"/>
      <c r="AI27" s="7"/>
      <c r="AL27" s="9"/>
    </row>
    <row r="28" spans="2:38" ht="18.75" customHeight="1" x14ac:dyDescent="0.25">
      <c r="K28" s="45" t="s">
        <v>80</v>
      </c>
      <c r="L28" s="2">
        <f>L24*0.01802/(L16*(273+L23))</f>
        <v>1.7300961165056517E-2</v>
      </c>
      <c r="AB28">
        <v>10</v>
      </c>
      <c r="AC28">
        <v>1.2281</v>
      </c>
      <c r="AG28" s="3"/>
      <c r="AH28" s="11"/>
      <c r="AI28" s="7"/>
      <c r="AL28" s="9"/>
    </row>
    <row r="29" spans="2:38" ht="18.75" customHeight="1" x14ac:dyDescent="0.25">
      <c r="C29" s="1">
        <f>C3*C32</f>
        <v>0</v>
      </c>
      <c r="AB29">
        <v>11</v>
      </c>
      <c r="AC29">
        <v>1.3129</v>
      </c>
      <c r="AG29" s="3"/>
      <c r="AH29" s="11"/>
      <c r="AI29" s="7"/>
      <c r="AL29" s="9"/>
    </row>
    <row r="30" spans="2:38" ht="18.75" customHeight="1" x14ac:dyDescent="0.25">
      <c r="B30" s="5" t="s">
        <v>38</v>
      </c>
      <c r="AB30">
        <v>12</v>
      </c>
      <c r="AC30">
        <v>1.4027000000000001</v>
      </c>
      <c r="AG30" s="3"/>
      <c r="AH30" s="11"/>
      <c r="AI30" s="7"/>
      <c r="AL30" s="9"/>
    </row>
    <row r="31" spans="2:38" ht="18.75" customHeight="1" x14ac:dyDescent="0.25">
      <c r="B31" s="1" t="s">
        <v>34</v>
      </c>
      <c r="C31" s="1">
        <v>7</v>
      </c>
      <c r="D31" s="1" t="s">
        <v>35</v>
      </c>
      <c r="K31" s="5" t="s">
        <v>68</v>
      </c>
      <c r="AB31">
        <v>13</v>
      </c>
      <c r="AC31">
        <v>1.4979</v>
      </c>
      <c r="AG31" s="3"/>
      <c r="AH31" s="11"/>
      <c r="AI31" s="7"/>
      <c r="AL31" s="9"/>
    </row>
    <row r="32" spans="2:38" ht="18.75" customHeight="1" x14ac:dyDescent="0.25">
      <c r="B32" s="1" t="s">
        <v>36</v>
      </c>
      <c r="C32" s="1">
        <v>24</v>
      </c>
      <c r="D32" s="1" t="s">
        <v>37</v>
      </c>
      <c r="K32" s="1" t="s">
        <v>63</v>
      </c>
      <c r="L32" s="1">
        <v>60</v>
      </c>
      <c r="AB32">
        <v>14</v>
      </c>
      <c r="AC32">
        <v>1.5988</v>
      </c>
      <c r="AG32" s="3"/>
      <c r="AH32" s="11"/>
      <c r="AI32" s="7"/>
      <c r="AL32" s="9"/>
    </row>
    <row r="33" spans="2:38" ht="18.75" customHeight="1" x14ac:dyDescent="0.25">
      <c r="C33" s="1">
        <f>C31*C32</f>
        <v>168</v>
      </c>
      <c r="D33" s="1" t="s">
        <v>40</v>
      </c>
      <c r="K33" s="1" t="s">
        <v>66</v>
      </c>
      <c r="L33" s="9">
        <f>VLOOKUP(L32,$AB$18:$AC$118,2,FALSE)*1000</f>
        <v>19932</v>
      </c>
      <c r="AB33">
        <v>15</v>
      </c>
      <c r="AC33">
        <v>1.7056</v>
      </c>
      <c r="AG33" s="3"/>
      <c r="AH33" s="11"/>
      <c r="AI33" s="7"/>
      <c r="AL33" s="9"/>
    </row>
    <row r="34" spans="2:38" ht="18.75" customHeight="1" x14ac:dyDescent="0.25">
      <c r="K34" s="1" t="s">
        <v>71</v>
      </c>
      <c r="L34" s="44">
        <f>($L$14*0.78/$L$16)/(($L$14/$L$16)+($L$33/$L$16))</f>
        <v>0.6517956245309936</v>
      </c>
      <c r="AB34">
        <v>16</v>
      </c>
      <c r="AC34">
        <v>1.8185</v>
      </c>
      <c r="AG34" s="3"/>
      <c r="AH34" s="11"/>
      <c r="AI34" s="7"/>
      <c r="AL34" s="9"/>
    </row>
    <row r="35" spans="2:38" ht="18.75" customHeight="1" x14ac:dyDescent="0.25">
      <c r="B35" s="5" t="s">
        <v>39</v>
      </c>
      <c r="K35" s="1" t="s">
        <v>72</v>
      </c>
      <c r="L35" s="44">
        <f>($L$14*0.22/$L$16)/(($L$14/$L$16)+($L$33/$L$16))</f>
        <v>0.18383979153438282</v>
      </c>
      <c r="AB35">
        <v>17</v>
      </c>
      <c r="AC35">
        <v>1.9379999999999999</v>
      </c>
      <c r="AG35" s="3"/>
      <c r="AH35" s="11"/>
      <c r="AI35" s="7"/>
      <c r="AL35" s="9"/>
    </row>
    <row r="36" spans="2:38" ht="18.75" customHeight="1" x14ac:dyDescent="0.25">
      <c r="B36" s="1" t="s">
        <v>34</v>
      </c>
      <c r="C36" s="1">
        <v>6.4</v>
      </c>
      <c r="D36" s="1" t="s">
        <v>35</v>
      </c>
      <c r="K36" s="1" t="s">
        <v>73</v>
      </c>
      <c r="L36" s="44">
        <f>($L$33/$L$16)/(($L$14/$L$16)+($L$33/$L$16))</f>
        <v>0.16436458393462361</v>
      </c>
      <c r="AB36">
        <v>18</v>
      </c>
      <c r="AC36">
        <v>2.0644</v>
      </c>
      <c r="AG36" s="3"/>
      <c r="AH36" s="11"/>
      <c r="AI36" s="7"/>
      <c r="AL36" s="9"/>
    </row>
    <row r="37" spans="2:38" ht="18.75" customHeight="1" x14ac:dyDescent="0.25">
      <c r="B37" s="1" t="s">
        <v>36</v>
      </c>
      <c r="C37" s="1">
        <v>12</v>
      </c>
      <c r="D37" s="1" t="s">
        <v>37</v>
      </c>
      <c r="K37" s="45" t="s">
        <v>79</v>
      </c>
      <c r="L37" s="3">
        <f>L14*0.02897/(L16*(273+L32))</f>
        <v>1.0603609202177882</v>
      </c>
      <c r="AB37">
        <v>19</v>
      </c>
      <c r="AC37">
        <v>2.1978</v>
      </c>
      <c r="AG37" s="3"/>
      <c r="AH37" s="11"/>
      <c r="AI37" s="7"/>
      <c r="AL37" s="9"/>
    </row>
    <row r="38" spans="2:38" ht="18.75" customHeight="1" x14ac:dyDescent="0.25">
      <c r="B38" s="1" t="s">
        <v>38</v>
      </c>
      <c r="C38" s="1">
        <f>C36*C37</f>
        <v>76.800000000000011</v>
      </c>
      <c r="D38" s="1" t="s">
        <v>40</v>
      </c>
      <c r="K38" s="45" t="s">
        <v>80</v>
      </c>
      <c r="L38" s="2">
        <f>L33*0.01802/(L16*(273+L32))</f>
        <v>0.12973328392140035</v>
      </c>
      <c r="AB38">
        <v>20</v>
      </c>
      <c r="AC38">
        <v>2.3388</v>
      </c>
      <c r="AG38" s="3"/>
      <c r="AH38" s="11"/>
      <c r="AI38" s="7"/>
      <c r="AL38" s="9"/>
    </row>
    <row r="39" spans="2:38" ht="18.75" customHeight="1" x14ac:dyDescent="0.25">
      <c r="AB39">
        <v>21</v>
      </c>
      <c r="AC39">
        <v>2.4876999999999998</v>
      </c>
      <c r="AG39" s="3"/>
      <c r="AH39" s="11"/>
      <c r="AI39" s="7"/>
      <c r="AL39" s="9"/>
    </row>
    <row r="40" spans="2:38" ht="18.75" customHeight="1" x14ac:dyDescent="0.25">
      <c r="AB40">
        <v>22</v>
      </c>
      <c r="AC40">
        <v>2.6446999999999998</v>
      </c>
      <c r="AG40" s="3"/>
      <c r="AH40" s="11"/>
      <c r="AI40" s="7"/>
      <c r="AL40" s="9"/>
    </row>
    <row r="41" spans="2:38" ht="18.75" customHeight="1" x14ac:dyDescent="0.25">
      <c r="AB41">
        <v>23</v>
      </c>
      <c r="AC41">
        <v>2.8104</v>
      </c>
      <c r="AG41" s="3"/>
      <c r="AH41" s="11"/>
      <c r="AI41" s="7"/>
      <c r="AL41" s="9"/>
    </row>
    <row r="42" spans="2:38" ht="18.75" customHeight="1" x14ac:dyDescent="0.25">
      <c r="K42" s="1" t="s">
        <v>76</v>
      </c>
      <c r="L42" s="1">
        <f>8*2</f>
        <v>16</v>
      </c>
      <c r="M42" s="1" t="s">
        <v>57</v>
      </c>
      <c r="AB42">
        <v>24</v>
      </c>
      <c r="AC42">
        <v>2.9849999999999999</v>
      </c>
      <c r="AG42" s="3"/>
      <c r="AH42" s="11"/>
      <c r="AI42" s="7"/>
      <c r="AL42" s="9"/>
    </row>
    <row r="43" spans="2:38" ht="18.75" customHeight="1" x14ac:dyDescent="0.25">
      <c r="L43" s="1">
        <f>L42/1000</f>
        <v>1.6E-2</v>
      </c>
      <c r="M43" s="1" t="s">
        <v>77</v>
      </c>
      <c r="AB43">
        <v>25</v>
      </c>
      <c r="AC43">
        <v>3.169</v>
      </c>
      <c r="AG43" s="3"/>
      <c r="AH43" s="11"/>
      <c r="AI43" s="7"/>
      <c r="AL43" s="9"/>
    </row>
    <row r="44" spans="2:38" ht="18.75" customHeight="1" x14ac:dyDescent="0.25">
      <c r="K44" s="1" t="s">
        <v>78</v>
      </c>
      <c r="L44" s="43">
        <f>L43*L37</f>
        <v>1.6965774723484612E-2</v>
      </c>
      <c r="M44" s="1" t="s">
        <v>58</v>
      </c>
      <c r="AB44">
        <v>26</v>
      </c>
      <c r="AC44">
        <v>3.3628999999999998</v>
      </c>
      <c r="AG44" s="3"/>
      <c r="AH44" s="11"/>
      <c r="AI44" s="7"/>
      <c r="AL44" s="9"/>
    </row>
    <row r="45" spans="2:38" ht="18.75" customHeight="1" x14ac:dyDescent="0.25">
      <c r="K45" s="1" t="s">
        <v>73</v>
      </c>
      <c r="L45" s="43">
        <f>L38*L43</f>
        <v>2.0757325427424055E-3</v>
      </c>
      <c r="M45" s="1" t="s">
        <v>58</v>
      </c>
      <c r="AB45">
        <v>27</v>
      </c>
      <c r="AC45">
        <v>3.5670000000000002</v>
      </c>
      <c r="AD45" s="12"/>
      <c r="AG45" s="3"/>
      <c r="AH45" s="11"/>
      <c r="AI45" s="7"/>
      <c r="AL45" s="9"/>
    </row>
    <row r="46" spans="2:38" ht="18.75" customHeight="1" x14ac:dyDescent="0.25">
      <c r="K46" s="1" t="s">
        <v>81</v>
      </c>
      <c r="L46" s="43">
        <f>L43*(L38-L28)</f>
        <v>1.7989171641015014E-3</v>
      </c>
      <c r="M46" s="1" t="s">
        <v>58</v>
      </c>
      <c r="AB46">
        <v>28</v>
      </c>
      <c r="AC46">
        <v>3.7818000000000001</v>
      </c>
      <c r="AG46" s="3"/>
      <c r="AH46" s="11"/>
      <c r="AI46" s="7"/>
      <c r="AL46" s="9"/>
    </row>
    <row r="47" spans="2:38" ht="18.75" customHeight="1" x14ac:dyDescent="0.25">
      <c r="L47" s="3">
        <f>L46*1000*60</f>
        <v>107.93502984609009</v>
      </c>
      <c r="M47" s="1" t="s">
        <v>89</v>
      </c>
      <c r="AB47">
        <v>29</v>
      </c>
      <c r="AC47">
        <v>4.0077999999999996</v>
      </c>
      <c r="AG47" s="3"/>
      <c r="AH47" s="11"/>
      <c r="AI47" s="7"/>
      <c r="AL47" s="9"/>
    </row>
    <row r="48" spans="2:38" ht="18.75" customHeight="1" x14ac:dyDescent="0.25">
      <c r="AB48">
        <v>30</v>
      </c>
      <c r="AC48">
        <v>4.2454999999999998</v>
      </c>
      <c r="AG48" s="3"/>
      <c r="AH48" s="11"/>
      <c r="AI48" s="7"/>
      <c r="AL48" s="9"/>
    </row>
    <row r="49" spans="11:38" ht="18.75" customHeight="1" x14ac:dyDescent="0.25">
      <c r="K49" s="5" t="s">
        <v>82</v>
      </c>
      <c r="AB49">
        <v>31</v>
      </c>
      <c r="AC49">
        <v>4.4953000000000003</v>
      </c>
      <c r="AG49" s="3"/>
      <c r="AH49" s="11"/>
      <c r="AI49" s="7"/>
      <c r="AL49" s="9"/>
    </row>
    <row r="50" spans="11:38" ht="18.75" customHeight="1" x14ac:dyDescent="0.25">
      <c r="K50" s="1" t="s">
        <v>83</v>
      </c>
      <c r="L50" s="3">
        <f>L44*L17*(L32-L23)</f>
        <v>0.68473866783983883</v>
      </c>
      <c r="M50" s="1" t="s">
        <v>59</v>
      </c>
      <c r="AB50">
        <v>32</v>
      </c>
      <c r="AC50">
        <v>4.7577999999999996</v>
      </c>
      <c r="AG50" s="3"/>
      <c r="AH50" s="11"/>
      <c r="AI50" s="7"/>
      <c r="AL50" s="9"/>
    </row>
    <row r="51" spans="11:38" ht="18.75" customHeight="1" x14ac:dyDescent="0.25">
      <c r="K51" s="1" t="s">
        <v>85</v>
      </c>
      <c r="L51" s="3">
        <f>(L45-L46)*L18*(L32-L23)</f>
        <v>2.0705790322339632E-2</v>
      </c>
      <c r="M51" s="1" t="s">
        <v>59</v>
      </c>
      <c r="AB51">
        <v>33</v>
      </c>
      <c r="AC51">
        <v>5.0335000000000001</v>
      </c>
      <c r="AG51" s="3"/>
      <c r="AH51" s="11"/>
      <c r="AI51" s="7"/>
      <c r="AL51" s="9"/>
    </row>
    <row r="52" spans="11:38" ht="18.75" customHeight="1" x14ac:dyDescent="0.25">
      <c r="K52" s="1" t="s">
        <v>86</v>
      </c>
      <c r="L52" s="3">
        <f>L46*L18*(L32-L23)</f>
        <v>0.1345590038747923</v>
      </c>
      <c r="M52" s="1" t="s">
        <v>59</v>
      </c>
      <c r="AB52">
        <v>34</v>
      </c>
      <c r="AC52">
        <v>5.3228999999999997</v>
      </c>
      <c r="AG52" s="3"/>
      <c r="AH52" s="11"/>
      <c r="AI52" s="7"/>
      <c r="AL52" s="9"/>
    </row>
    <row r="53" spans="11:38" ht="18.75" customHeight="1" x14ac:dyDescent="0.25">
      <c r="K53" s="1" t="s">
        <v>87</v>
      </c>
      <c r="L53" s="3">
        <f>L46*L20</f>
        <v>4.0655527908693934</v>
      </c>
      <c r="M53" s="1" t="s">
        <v>59</v>
      </c>
      <c r="AB53">
        <v>35</v>
      </c>
      <c r="AC53">
        <v>5.6266999999999996</v>
      </c>
      <c r="AG53" s="3"/>
      <c r="AH53" s="11"/>
      <c r="AI53" s="7"/>
      <c r="AL53" s="9"/>
    </row>
    <row r="54" spans="11:38" ht="18.75" customHeight="1" x14ac:dyDescent="0.25">
      <c r="K54" s="1" t="s">
        <v>88</v>
      </c>
      <c r="L54" s="3">
        <f>L46*L18*(L32-100)</f>
        <v>-0.1345590038747923</v>
      </c>
      <c r="M54" s="1" t="s">
        <v>59</v>
      </c>
      <c r="AB54">
        <v>36</v>
      </c>
      <c r="AC54">
        <v>5.9452999999999996</v>
      </c>
      <c r="AG54" s="3"/>
      <c r="AH54" s="11"/>
      <c r="AI54" s="7"/>
      <c r="AL54" s="9"/>
    </row>
    <row r="55" spans="11:38" ht="18.75" customHeight="1" x14ac:dyDescent="0.25">
      <c r="K55" s="5" t="s">
        <v>18</v>
      </c>
      <c r="L55" s="46">
        <f>SUM(L50:L54)</f>
        <v>4.7709972490315717</v>
      </c>
      <c r="M55" s="5" t="s">
        <v>59</v>
      </c>
      <c r="AB55">
        <v>37</v>
      </c>
      <c r="AC55">
        <v>6.2794999999999996</v>
      </c>
      <c r="AG55" s="3"/>
      <c r="AH55" s="11"/>
      <c r="AI55" s="7"/>
      <c r="AL55" s="9"/>
    </row>
    <row r="56" spans="11:38" ht="18.75" customHeight="1" x14ac:dyDescent="0.25">
      <c r="L56" s="47">
        <f>L55*16.67</f>
        <v>79.532524141356305</v>
      </c>
      <c r="M56" s="5" t="s">
        <v>40</v>
      </c>
      <c r="AB56">
        <v>38</v>
      </c>
      <c r="AC56">
        <v>6.6298000000000004</v>
      </c>
      <c r="AG56" s="3"/>
      <c r="AH56" s="11"/>
      <c r="AI56" s="7"/>
      <c r="AL56" s="9"/>
    </row>
    <row r="57" spans="11:38" ht="18.75" customHeight="1" x14ac:dyDescent="0.25">
      <c r="AB57">
        <v>39</v>
      </c>
      <c r="AC57">
        <v>6.9969000000000001</v>
      </c>
      <c r="AG57" s="3"/>
      <c r="AH57" s="11"/>
      <c r="AI57" s="7"/>
      <c r="AL57" s="9"/>
    </row>
    <row r="58" spans="11:38" ht="18.75" customHeight="1" x14ac:dyDescent="0.25">
      <c r="AB58">
        <v>40</v>
      </c>
      <c r="AC58">
        <v>7.3814000000000002</v>
      </c>
      <c r="AG58" s="3"/>
      <c r="AH58" s="11"/>
      <c r="AI58" s="7"/>
      <c r="AL58" s="9"/>
    </row>
    <row r="59" spans="11:38" ht="18.75" customHeight="1" x14ac:dyDescent="0.25">
      <c r="AB59">
        <v>41</v>
      </c>
      <c r="AC59">
        <v>7.7839999999999998</v>
      </c>
      <c r="AG59" s="3"/>
      <c r="AH59" s="11"/>
      <c r="AI59" s="7"/>
      <c r="AL59" s="9"/>
    </row>
    <row r="60" spans="11:38" ht="18.75" customHeight="1" x14ac:dyDescent="0.25">
      <c r="AB60">
        <v>42</v>
      </c>
      <c r="AC60">
        <v>8.2053999999999991</v>
      </c>
      <c r="AG60" s="3"/>
      <c r="AH60" s="11"/>
      <c r="AI60" s="7"/>
      <c r="AL60" s="9"/>
    </row>
    <row r="61" spans="11:38" ht="18.75" customHeight="1" x14ac:dyDescent="0.25">
      <c r="AB61">
        <v>43</v>
      </c>
      <c r="AC61">
        <v>8.6463000000000001</v>
      </c>
      <c r="AG61" s="3"/>
      <c r="AH61" s="11"/>
      <c r="AI61" s="7"/>
      <c r="AL61" s="9"/>
    </row>
    <row r="62" spans="11:38" ht="18.75" customHeight="1" x14ac:dyDescent="0.25">
      <c r="AB62">
        <v>44</v>
      </c>
      <c r="AC62">
        <v>9.1074999999999999</v>
      </c>
      <c r="AG62" s="3"/>
      <c r="AH62" s="11"/>
      <c r="AI62" s="7"/>
      <c r="AL62" s="9"/>
    </row>
    <row r="63" spans="11:38" ht="18.75" customHeight="1" x14ac:dyDescent="0.25">
      <c r="AB63">
        <v>45</v>
      </c>
      <c r="AC63">
        <v>9.5898000000000003</v>
      </c>
      <c r="AG63" s="3"/>
      <c r="AH63" s="11"/>
      <c r="AI63" s="7"/>
      <c r="AL63" s="9"/>
    </row>
    <row r="64" spans="11:38" ht="18.75" customHeight="1" x14ac:dyDescent="0.25">
      <c r="AB64">
        <v>46</v>
      </c>
      <c r="AC64">
        <v>10.093999999999999</v>
      </c>
      <c r="AG64" s="3"/>
      <c r="AH64" s="11"/>
      <c r="AI64" s="7"/>
      <c r="AL64" s="9"/>
    </row>
    <row r="65" spans="28:38" ht="18.75" customHeight="1" x14ac:dyDescent="0.25">
      <c r="AB65">
        <v>47</v>
      </c>
      <c r="AC65">
        <v>10.62</v>
      </c>
      <c r="AG65" s="3"/>
      <c r="AH65" s="11"/>
      <c r="AI65" s="7"/>
      <c r="AL65" s="9"/>
    </row>
    <row r="66" spans="28:38" ht="18.75" customHeight="1" x14ac:dyDescent="0.25">
      <c r="AB66">
        <v>48</v>
      </c>
      <c r="AC66">
        <v>11.170999999999999</v>
      </c>
      <c r="AG66" s="3"/>
      <c r="AH66" s="11"/>
      <c r="AI66" s="7"/>
      <c r="AL66" s="9"/>
    </row>
    <row r="67" spans="28:38" ht="18.75" customHeight="1" x14ac:dyDescent="0.25">
      <c r="AB67">
        <v>49</v>
      </c>
      <c r="AC67">
        <v>11.744999999999999</v>
      </c>
      <c r="AG67" s="3"/>
      <c r="AH67" s="11"/>
      <c r="AI67" s="7"/>
      <c r="AL67" s="9"/>
    </row>
    <row r="68" spans="28:38" ht="18.75" customHeight="1" x14ac:dyDescent="0.25">
      <c r="AB68">
        <v>50</v>
      </c>
      <c r="AC68">
        <v>12.343999999999999</v>
      </c>
      <c r="AG68" s="3"/>
      <c r="AH68" s="11"/>
      <c r="AI68" s="7"/>
      <c r="AL68" s="9"/>
    </row>
    <row r="69" spans="28:38" ht="18.75" customHeight="1" x14ac:dyDescent="0.25">
      <c r="AB69">
        <v>51</v>
      </c>
      <c r="AC69">
        <v>12.97</v>
      </c>
      <c r="AG69" s="3"/>
      <c r="AH69" s="11"/>
      <c r="AI69" s="7"/>
      <c r="AL69" s="9"/>
    </row>
    <row r="70" spans="28:38" ht="18.75" customHeight="1" x14ac:dyDescent="0.25">
      <c r="AB70">
        <v>52</v>
      </c>
      <c r="AC70">
        <v>13.622999999999999</v>
      </c>
      <c r="AG70" s="3"/>
      <c r="AH70" s="11"/>
      <c r="AI70" s="7"/>
      <c r="AL70" s="9"/>
    </row>
    <row r="71" spans="28:38" ht="18.75" customHeight="1" x14ac:dyDescent="0.25">
      <c r="AB71">
        <v>53</v>
      </c>
      <c r="AC71">
        <v>14.303000000000001</v>
      </c>
      <c r="AG71" s="3"/>
      <c r="AH71" s="11"/>
      <c r="AI71" s="7"/>
      <c r="AL71" s="9"/>
    </row>
    <row r="72" spans="28:38" ht="18.75" customHeight="1" x14ac:dyDescent="0.25">
      <c r="AB72">
        <v>54</v>
      </c>
      <c r="AC72">
        <v>15.012</v>
      </c>
      <c r="AG72" s="3"/>
      <c r="AH72" s="11"/>
      <c r="AI72" s="7"/>
      <c r="AL72" s="9"/>
    </row>
    <row r="73" spans="28:38" ht="18.75" customHeight="1" x14ac:dyDescent="0.25">
      <c r="AB73">
        <v>55</v>
      </c>
      <c r="AC73">
        <v>15.752000000000001</v>
      </c>
      <c r="AG73" s="3"/>
      <c r="AH73" s="11"/>
      <c r="AI73" s="7"/>
      <c r="AL73" s="9"/>
    </row>
    <row r="74" spans="28:38" ht="18.75" customHeight="1" x14ac:dyDescent="0.25">
      <c r="AB74">
        <v>56</v>
      </c>
      <c r="AC74">
        <v>16.521999999999998</v>
      </c>
      <c r="AG74" s="3"/>
      <c r="AH74" s="11"/>
      <c r="AI74" s="7"/>
      <c r="AL74" s="9"/>
    </row>
    <row r="75" spans="28:38" ht="18.75" customHeight="1" x14ac:dyDescent="0.25">
      <c r="AB75">
        <v>57</v>
      </c>
      <c r="AC75">
        <v>17.324000000000002</v>
      </c>
      <c r="AG75" s="3"/>
      <c r="AH75" s="11"/>
      <c r="AI75" s="7"/>
      <c r="AL75" s="9"/>
    </row>
    <row r="76" spans="28:38" ht="18.75" customHeight="1" x14ac:dyDescent="0.25">
      <c r="AB76">
        <v>58</v>
      </c>
      <c r="AC76">
        <v>18.158999999999999</v>
      </c>
      <c r="AG76" s="3"/>
      <c r="AH76" s="11"/>
      <c r="AI76" s="7"/>
      <c r="AL76" s="9"/>
    </row>
    <row r="77" spans="28:38" x14ac:dyDescent="0.25">
      <c r="AB77">
        <v>59</v>
      </c>
      <c r="AC77">
        <v>19.027999999999999</v>
      </c>
    </row>
    <row r="78" spans="28:38" x14ac:dyDescent="0.25">
      <c r="AB78">
        <v>60</v>
      </c>
      <c r="AC78">
        <v>19.931999999999999</v>
      </c>
    </row>
    <row r="79" spans="28:38" x14ac:dyDescent="0.25">
      <c r="AB79">
        <v>61</v>
      </c>
      <c r="AC79">
        <v>20.873000000000001</v>
      </c>
    </row>
    <row r="80" spans="28:38" x14ac:dyDescent="0.25">
      <c r="AB80">
        <v>62</v>
      </c>
      <c r="AC80">
        <v>21.850999999999999</v>
      </c>
    </row>
    <row r="81" spans="28:29" x14ac:dyDescent="0.25">
      <c r="AB81">
        <v>63</v>
      </c>
      <c r="AC81">
        <v>22.867999999999999</v>
      </c>
    </row>
    <row r="82" spans="28:29" x14ac:dyDescent="0.25">
      <c r="AB82">
        <v>64</v>
      </c>
      <c r="AC82">
        <v>23.925000000000001</v>
      </c>
    </row>
    <row r="83" spans="28:29" x14ac:dyDescent="0.25">
      <c r="AB83">
        <v>65</v>
      </c>
      <c r="AC83">
        <v>25.021999999999998</v>
      </c>
    </row>
    <row r="84" spans="28:29" x14ac:dyDescent="0.25">
      <c r="AB84">
        <v>66</v>
      </c>
      <c r="AC84">
        <v>26.163</v>
      </c>
    </row>
    <row r="85" spans="28:29" x14ac:dyDescent="0.25">
      <c r="AB85">
        <v>67</v>
      </c>
      <c r="AC85">
        <v>27.347000000000001</v>
      </c>
    </row>
    <row r="86" spans="28:29" x14ac:dyDescent="0.25">
      <c r="AB86">
        <v>68</v>
      </c>
      <c r="AC86">
        <v>28.576000000000001</v>
      </c>
    </row>
    <row r="87" spans="28:29" x14ac:dyDescent="0.25">
      <c r="AB87">
        <v>69</v>
      </c>
      <c r="AC87">
        <v>29.852</v>
      </c>
    </row>
    <row r="88" spans="28:29" x14ac:dyDescent="0.25">
      <c r="AB88">
        <v>70</v>
      </c>
      <c r="AC88">
        <v>31.175999999999998</v>
      </c>
    </row>
    <row r="89" spans="28:29" x14ac:dyDescent="0.25">
      <c r="AB89">
        <v>71</v>
      </c>
      <c r="AC89">
        <v>32.548999999999999</v>
      </c>
    </row>
    <row r="90" spans="28:29" x14ac:dyDescent="0.25">
      <c r="AB90">
        <v>72</v>
      </c>
      <c r="AC90">
        <v>33.972000000000001</v>
      </c>
    </row>
    <row r="91" spans="28:29" x14ac:dyDescent="0.25">
      <c r="AB91">
        <v>73</v>
      </c>
      <c r="AC91">
        <v>35.448</v>
      </c>
    </row>
    <row r="92" spans="28:29" x14ac:dyDescent="0.25">
      <c r="AB92">
        <v>74</v>
      </c>
      <c r="AC92">
        <v>36.978000000000002</v>
      </c>
    </row>
    <row r="93" spans="28:29" x14ac:dyDescent="0.25">
      <c r="AB93">
        <v>75</v>
      </c>
      <c r="AC93">
        <v>38.563000000000002</v>
      </c>
    </row>
    <row r="94" spans="28:29" x14ac:dyDescent="0.25">
      <c r="AB94">
        <v>76</v>
      </c>
      <c r="AC94">
        <v>40.204999999999998</v>
      </c>
    </row>
    <row r="95" spans="28:29" x14ac:dyDescent="0.25">
      <c r="AB95">
        <v>77</v>
      </c>
      <c r="AC95">
        <v>41.905000000000001</v>
      </c>
    </row>
    <row r="96" spans="28:29" x14ac:dyDescent="0.25">
      <c r="AB96">
        <v>78</v>
      </c>
      <c r="AC96">
        <v>43.664999999999999</v>
      </c>
    </row>
    <row r="97" spans="28:29" x14ac:dyDescent="0.25">
      <c r="AB97">
        <v>79</v>
      </c>
      <c r="AC97">
        <v>45.487000000000002</v>
      </c>
    </row>
    <row r="98" spans="28:29" x14ac:dyDescent="0.25">
      <c r="AB98">
        <v>80</v>
      </c>
      <c r="AC98">
        <v>47.372999999999998</v>
      </c>
    </row>
    <row r="99" spans="28:29" x14ac:dyDescent="0.25">
      <c r="AB99">
        <v>81</v>
      </c>
      <c r="AC99">
        <v>49.323999999999998</v>
      </c>
    </row>
    <row r="100" spans="28:29" x14ac:dyDescent="0.25">
      <c r="AB100">
        <v>82</v>
      </c>
      <c r="AC100">
        <v>51.341999999999999</v>
      </c>
    </row>
    <row r="101" spans="28:29" x14ac:dyDescent="0.25">
      <c r="AB101">
        <v>83</v>
      </c>
      <c r="AC101">
        <v>53.427999999999997</v>
      </c>
    </row>
    <row r="102" spans="28:29" x14ac:dyDescent="0.25">
      <c r="AB102">
        <v>84</v>
      </c>
      <c r="AC102">
        <v>55.585000000000001</v>
      </c>
    </row>
    <row r="103" spans="28:29" x14ac:dyDescent="0.25">
      <c r="AB103">
        <v>85</v>
      </c>
      <c r="AC103">
        <v>57.814999999999998</v>
      </c>
    </row>
    <row r="104" spans="28:29" x14ac:dyDescent="0.25">
      <c r="AB104">
        <v>86</v>
      </c>
      <c r="AC104">
        <v>60.119</v>
      </c>
    </row>
    <row r="105" spans="28:29" x14ac:dyDescent="0.25">
      <c r="AB105">
        <v>87</v>
      </c>
      <c r="AC105">
        <v>62.499000000000002</v>
      </c>
    </row>
    <row r="106" spans="28:29" x14ac:dyDescent="0.25">
      <c r="AB106">
        <v>88</v>
      </c>
      <c r="AC106">
        <v>64.957999999999998</v>
      </c>
    </row>
    <row r="107" spans="28:29" x14ac:dyDescent="0.25">
      <c r="AB107">
        <v>89</v>
      </c>
      <c r="AC107">
        <v>67.495999999999995</v>
      </c>
    </row>
    <row r="108" spans="28:29" x14ac:dyDescent="0.25">
      <c r="AB108">
        <v>90</v>
      </c>
      <c r="AC108">
        <v>70.117000000000004</v>
      </c>
    </row>
    <row r="109" spans="28:29" x14ac:dyDescent="0.25">
      <c r="AB109">
        <v>91</v>
      </c>
      <c r="AC109">
        <v>72.822999999999993</v>
      </c>
    </row>
    <row r="110" spans="28:29" x14ac:dyDescent="0.25">
      <c r="AB110">
        <v>92</v>
      </c>
      <c r="AC110">
        <v>75.614000000000004</v>
      </c>
    </row>
    <row r="111" spans="28:29" x14ac:dyDescent="0.25">
      <c r="AB111">
        <v>93</v>
      </c>
      <c r="AC111">
        <v>78.494</v>
      </c>
    </row>
    <row r="112" spans="28:29" x14ac:dyDescent="0.25">
      <c r="AB112">
        <v>94</v>
      </c>
      <c r="AC112">
        <v>81.465000000000003</v>
      </c>
    </row>
    <row r="113" spans="28:29" x14ac:dyDescent="0.25">
      <c r="AB113">
        <v>95</v>
      </c>
      <c r="AC113">
        <v>84.528999999999996</v>
      </c>
    </row>
    <row r="114" spans="28:29" x14ac:dyDescent="0.25">
      <c r="AB114">
        <v>96</v>
      </c>
      <c r="AC114">
        <v>87.688000000000002</v>
      </c>
    </row>
    <row r="115" spans="28:29" x14ac:dyDescent="0.25">
      <c r="AB115">
        <v>97</v>
      </c>
      <c r="AC115">
        <v>90.944999999999993</v>
      </c>
    </row>
    <row r="116" spans="28:29" x14ac:dyDescent="0.25">
      <c r="AB116">
        <v>98</v>
      </c>
      <c r="AC116">
        <v>94.301000000000002</v>
      </c>
    </row>
    <row r="117" spans="28:29" x14ac:dyDescent="0.25">
      <c r="AB117">
        <v>99</v>
      </c>
      <c r="AC117">
        <v>97.759</v>
      </c>
    </row>
    <row r="118" spans="28:29" x14ac:dyDescent="0.25">
      <c r="AB118">
        <v>100</v>
      </c>
      <c r="AC118">
        <v>101.32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48CBA-F250-4AF2-BB3F-153F9C1B9705}">
  <dimension ref="A1:F60"/>
  <sheetViews>
    <sheetView showGridLines="0" workbookViewId="0">
      <selection activeCell="C29" sqref="C29"/>
    </sheetView>
  </sheetViews>
  <sheetFormatPr defaultRowHeight="15" x14ac:dyDescent="0.25"/>
  <cols>
    <col min="4" max="4" width="9.7109375" customWidth="1"/>
  </cols>
  <sheetData>
    <row r="1" spans="2:5" s="1" customFormat="1" ht="22.5" customHeight="1" x14ac:dyDescent="0.25"/>
    <row r="2" spans="2:5" s="1" customFormat="1" ht="22.5" customHeight="1" x14ac:dyDescent="0.25">
      <c r="B2" s="48" t="s">
        <v>92</v>
      </c>
      <c r="C2" s="48" t="s">
        <v>90</v>
      </c>
      <c r="D2" s="48" t="s">
        <v>91</v>
      </c>
    </row>
    <row r="3" spans="2:5" s="1" customFormat="1" ht="22.5" customHeight="1" x14ac:dyDescent="0.25">
      <c r="B3" s="15">
        <f>(4*100+16+2)/20</f>
        <v>20.9</v>
      </c>
      <c r="C3" s="15">
        <v>84</v>
      </c>
      <c r="D3" s="49">
        <f>LOG10(B3)</f>
        <v>1.320146286111054</v>
      </c>
    </row>
    <row r="4" spans="2:5" s="1" customFormat="1" ht="22.5" customHeight="1" x14ac:dyDescent="0.25">
      <c r="B4" s="15">
        <f>(10*100+10+2)/20</f>
        <v>50.6</v>
      </c>
      <c r="C4" s="15">
        <v>68</v>
      </c>
      <c r="D4" s="49">
        <f t="shared" ref="D4:D8" si="0">LOG10(B4)</f>
        <v>1.7041505168397992</v>
      </c>
    </row>
    <row r="5" spans="2:5" s="1" customFormat="1" ht="22.5" customHeight="1" x14ac:dyDescent="0.25">
      <c r="B5" s="15">
        <f>(20*100+2)/20</f>
        <v>100.1</v>
      </c>
      <c r="C5" s="15">
        <v>48</v>
      </c>
      <c r="D5" s="49">
        <f t="shared" si="0"/>
        <v>2.0004340774793188</v>
      </c>
    </row>
    <row r="6" spans="2:5" s="1" customFormat="1" ht="22.5" customHeight="1" x14ac:dyDescent="0.25">
      <c r="B6" s="15">
        <f>(4*1000+16+2)/20</f>
        <v>200.9</v>
      </c>
      <c r="C6" s="15">
        <v>34</v>
      </c>
      <c r="D6" s="49">
        <f t="shared" si="0"/>
        <v>2.3029799367482493</v>
      </c>
    </row>
    <row r="7" spans="2:5" s="1" customFormat="1" ht="22.5" customHeight="1" x14ac:dyDescent="0.25">
      <c r="B7" s="15">
        <f>(10*1000+10+2)/20</f>
        <v>500.6</v>
      </c>
      <c r="C7" s="15">
        <v>9</v>
      </c>
      <c r="D7" s="49">
        <f t="shared" si="0"/>
        <v>2.6994908452722046</v>
      </c>
    </row>
    <row r="8" spans="2:5" s="1" customFormat="1" ht="22.5" customHeight="1" x14ac:dyDescent="0.25">
      <c r="B8" s="15">
        <v>1000</v>
      </c>
      <c r="C8" s="15">
        <v>-8</v>
      </c>
      <c r="D8" s="49">
        <f t="shared" si="0"/>
        <v>3</v>
      </c>
    </row>
    <row r="9" spans="2:5" s="1" customFormat="1" ht="22.5" customHeight="1" x14ac:dyDescent="0.25"/>
    <row r="10" spans="2:5" s="1" customFormat="1" ht="22.5" customHeight="1" x14ac:dyDescent="0.25"/>
    <row r="11" spans="2:5" s="1" customFormat="1" ht="22.5" customHeight="1" x14ac:dyDescent="0.25">
      <c r="B11" s="3" cm="1">
        <f t="array" ref="B11:C11">LINEST(C3:C8, D3:D8,TRUE, FALSE)</f>
        <v>-55.673893608947232</v>
      </c>
      <c r="C11" s="3">
        <v>160.04583989626278</v>
      </c>
    </row>
    <row r="12" spans="2:5" s="1" customFormat="1" ht="22.5" customHeight="1" x14ac:dyDescent="0.25"/>
    <row r="13" spans="2:5" s="1" customFormat="1" ht="22.5" customHeight="1" x14ac:dyDescent="0.25"/>
    <row r="14" spans="2:5" s="1" customFormat="1" ht="22.5" customHeight="1" x14ac:dyDescent="0.25">
      <c r="B14" s="1" t="s">
        <v>90</v>
      </c>
      <c r="D14" s="50">
        <v>87</v>
      </c>
      <c r="E14" s="1" t="s">
        <v>94</v>
      </c>
    </row>
    <row r="15" spans="2:5" s="1" customFormat="1" ht="22.5" customHeight="1" x14ac:dyDescent="0.25">
      <c r="B15" s="1" t="s">
        <v>93</v>
      </c>
      <c r="D15" s="6">
        <f>10^((D14-C11)/B11)</f>
        <v>20.51305677038172</v>
      </c>
      <c r="E15" s="1" t="s">
        <v>2</v>
      </c>
    </row>
    <row r="16" spans="2:5" s="1" customFormat="1" ht="22.5" customHeight="1" x14ac:dyDescent="0.25"/>
    <row r="17" spans="1:6" s="1" customFormat="1" ht="22.5" customHeight="1" x14ac:dyDescent="0.25"/>
    <row r="18" spans="1:6" s="1" customFormat="1" ht="22.5" customHeight="1" x14ac:dyDescent="0.25"/>
    <row r="19" spans="1:6" s="1" customFormat="1" ht="22.5" customHeight="1" x14ac:dyDescent="0.25"/>
    <row r="20" spans="1:6" s="1" customFormat="1" ht="22.5" customHeight="1" x14ac:dyDescent="0.25"/>
    <row r="21" spans="1:6" s="1" customFormat="1" ht="22.5" customHeight="1" x14ac:dyDescent="0.25"/>
    <row r="22" spans="1:6" s="1" customFormat="1" ht="22.5" customHeight="1" x14ac:dyDescent="0.25"/>
    <row r="23" spans="1:6" s="1" customFormat="1" ht="22.5" customHeight="1" x14ac:dyDescent="0.25"/>
    <row r="24" spans="1:6" s="1" customFormat="1" ht="22.5" customHeight="1" x14ac:dyDescent="0.25">
      <c r="B24" s="1" t="s">
        <v>96</v>
      </c>
      <c r="C24" s="1" t="s">
        <v>95</v>
      </c>
      <c r="D24" s="1" t="s">
        <v>97</v>
      </c>
      <c r="E24" s="1" t="s">
        <v>98</v>
      </c>
      <c r="F24" s="1" t="s">
        <v>99</v>
      </c>
    </row>
    <row r="25" spans="1:6" s="1" customFormat="1" ht="22.5" customHeight="1" x14ac:dyDescent="0.25">
      <c r="A25" s="1">
        <f>C25+(C25-D25)*F25/E25</f>
        <v>-61.454545454545453</v>
      </c>
      <c r="B25" s="6">
        <f>C25*(E25+F25)/E25-D25*(F25/E25)</f>
        <v>-61.454545454545453</v>
      </c>
      <c r="C25" s="1">
        <v>27</v>
      </c>
      <c r="D25" s="1">
        <v>1000</v>
      </c>
      <c r="E25" s="1">
        <v>22</v>
      </c>
      <c r="F25" s="1">
        <v>2</v>
      </c>
    </row>
    <row r="26" spans="1:6" s="1" customFormat="1" ht="22.5" customHeight="1" x14ac:dyDescent="0.25">
      <c r="B26" s="6">
        <f>C26*(E26+F26)/E26-D26*(F26/E26)</f>
        <v>-142.81818181818181</v>
      </c>
      <c r="C26" s="1">
        <v>33</v>
      </c>
      <c r="D26" s="1">
        <v>1000</v>
      </c>
      <c r="E26" s="1">
        <v>22</v>
      </c>
      <c r="F26" s="1">
        <v>4</v>
      </c>
    </row>
    <row r="27" spans="1:6" s="1" customFormat="1" ht="22.5" customHeight="1" x14ac:dyDescent="0.25">
      <c r="B27" s="6">
        <f>C27*(E27+F27)/E27-D27*(F27/E27)</f>
        <v>-219.27272727272725</v>
      </c>
      <c r="C27" s="1">
        <v>42</v>
      </c>
      <c r="D27" s="1">
        <v>1000</v>
      </c>
      <c r="E27" s="1">
        <v>22</v>
      </c>
      <c r="F27" s="1">
        <v>6</v>
      </c>
    </row>
    <row r="28" spans="1:6" s="1" customFormat="1" ht="22.5" customHeight="1" x14ac:dyDescent="0.25">
      <c r="B28" s="6">
        <f>C28*(E28+F28)/E28-D28*(F28/E28)</f>
        <v>-298.18181818181819</v>
      </c>
      <c r="C28" s="1">
        <v>48</v>
      </c>
      <c r="D28" s="1">
        <v>1000</v>
      </c>
      <c r="E28" s="1">
        <v>22</v>
      </c>
      <c r="F28" s="1">
        <v>8</v>
      </c>
    </row>
    <row r="29" spans="1:6" s="1" customFormat="1" ht="22.5" customHeight="1" x14ac:dyDescent="0.25"/>
    <row r="30" spans="1:6" s="1" customFormat="1" ht="22.5" customHeight="1" x14ac:dyDescent="0.25"/>
    <row r="31" spans="1:6" s="1" customFormat="1" ht="22.5" customHeight="1" x14ac:dyDescent="0.25"/>
    <row r="32" spans="1:6" s="1" customFormat="1" ht="22.5" customHeight="1" x14ac:dyDescent="0.25"/>
    <row r="33" s="1" customFormat="1" ht="22.5" customHeight="1" x14ac:dyDescent="0.25"/>
    <row r="34" s="1" customFormat="1" ht="22.5" customHeight="1" x14ac:dyDescent="0.25"/>
    <row r="35" s="1" customFormat="1" ht="22.5" customHeight="1" x14ac:dyDescent="0.25"/>
    <row r="36" s="1" customFormat="1" ht="22.5" customHeight="1" x14ac:dyDescent="0.25"/>
    <row r="37" s="1" customFormat="1" ht="22.5" customHeight="1" x14ac:dyDescent="0.25"/>
    <row r="38" s="1" customFormat="1" ht="22.5" customHeight="1" x14ac:dyDescent="0.25"/>
    <row r="39" s="1" customFormat="1" ht="22.5" customHeight="1" x14ac:dyDescent="0.25"/>
    <row r="40" s="1" customFormat="1" ht="22.5" customHeight="1" x14ac:dyDescent="0.25"/>
    <row r="41" s="1" customFormat="1" ht="22.5" customHeight="1" x14ac:dyDescent="0.25"/>
    <row r="42" s="1" customFormat="1" ht="22.5" customHeight="1" x14ac:dyDescent="0.25"/>
    <row r="43" s="1" customFormat="1" ht="22.5" customHeight="1" x14ac:dyDescent="0.25"/>
    <row r="44" s="1" customFormat="1" ht="22.5" customHeight="1" x14ac:dyDescent="0.25"/>
    <row r="45" s="1" customFormat="1" ht="22.5" customHeight="1" x14ac:dyDescent="0.25"/>
    <row r="46" s="1" customFormat="1" ht="22.5" customHeight="1" x14ac:dyDescent="0.25"/>
    <row r="47" s="1" customFormat="1" ht="22.5" customHeight="1" x14ac:dyDescent="0.25"/>
    <row r="48" s="1" customFormat="1" ht="22.5" customHeight="1" x14ac:dyDescent="0.25"/>
    <row r="49" s="1" customFormat="1" ht="22.5" customHeight="1" x14ac:dyDescent="0.25"/>
    <row r="50" s="1" customFormat="1" ht="22.5" customHeight="1" x14ac:dyDescent="0.25"/>
    <row r="51" s="1" customFormat="1" ht="22.5" customHeight="1" x14ac:dyDescent="0.25"/>
    <row r="52" s="1" customFormat="1" ht="22.5" customHeight="1" x14ac:dyDescent="0.25"/>
    <row r="53" s="1" customFormat="1" ht="22.5" customHeight="1" x14ac:dyDescent="0.25"/>
    <row r="54" s="1" customFormat="1" ht="22.5" customHeight="1" x14ac:dyDescent="0.25"/>
    <row r="55" s="1" customFormat="1" ht="22.5" customHeight="1" x14ac:dyDescent="0.25"/>
    <row r="56" s="1" customFormat="1" ht="22.5" customHeight="1" x14ac:dyDescent="0.25"/>
    <row r="57" s="1" customFormat="1" ht="22.5" customHeight="1" x14ac:dyDescent="0.25"/>
    <row r="58" s="1" customFormat="1" ht="22.5" customHeight="1" x14ac:dyDescent="0.25"/>
    <row r="59" s="1" customFormat="1" ht="22.5" customHeight="1" x14ac:dyDescent="0.25"/>
    <row r="60" s="1" customFormat="1" ht="22.5" customHeight="1" x14ac:dyDescent="0.2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9974B-EAFB-429D-AD1C-9373EA1D0C0C}">
  <dimension ref="F13:G19"/>
  <sheetViews>
    <sheetView workbookViewId="0">
      <selection activeCell="D26" sqref="D26"/>
    </sheetView>
  </sheetViews>
  <sheetFormatPr defaultRowHeight="15" x14ac:dyDescent="0.25"/>
  <sheetData>
    <row r="13" spans="6:6" x14ac:dyDescent="0.25">
      <c r="F13" s="14" t="s">
        <v>52</v>
      </c>
    </row>
    <row r="16" spans="6:6" x14ac:dyDescent="0.25">
      <c r="F16">
        <f>12+4+14*2+16</f>
        <v>60</v>
      </c>
    </row>
    <row r="17" spans="7:7" x14ac:dyDescent="0.25">
      <c r="G17">
        <f>28/60</f>
        <v>0.46666666666666667</v>
      </c>
    </row>
    <row r="19" spans="7:7" x14ac:dyDescent="0.25">
      <c r="G19">
        <f>387/0.46</f>
        <v>841.30434782608688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20250211 (2)</vt:lpstr>
      <vt:lpstr>TEMPLATE</vt:lpstr>
      <vt:lpstr>Sheet1</vt:lpstr>
      <vt:lpstr>20250206</vt:lpstr>
      <vt:lpstr>20250211</vt:lpstr>
      <vt:lpstr>20250219</vt:lpstr>
      <vt:lpstr>Calibration Curve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Sofronov</dc:creator>
  <cp:lastModifiedBy>Alexey Sofronov</cp:lastModifiedBy>
  <dcterms:created xsi:type="dcterms:W3CDTF">2025-01-12T19:26:28Z</dcterms:created>
  <dcterms:modified xsi:type="dcterms:W3CDTF">2025-03-13T22:27:45Z</dcterms:modified>
</cp:coreProperties>
</file>