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200" windowHeight="7248" tabRatio="647" activeTab="23"/>
  </bookViews>
  <sheets>
    <sheet name="B" sheetId="42" r:id="rId1"/>
    <sheet name="B11" sheetId="23" r:id="rId2"/>
    <sheet name="B21" sheetId="12" r:id="rId3"/>
    <sheet name="B211" sheetId="13" r:id="rId4"/>
    <sheet name="B212" sheetId="14" r:id="rId5"/>
    <sheet name="B213" sheetId="53" r:id="rId6"/>
    <sheet name="B22" sheetId="1" r:id="rId7"/>
    <sheet name="B221" sheetId="11" r:id="rId8"/>
    <sheet name="B222" sheetId="2" r:id="rId9"/>
    <sheet name="台南市" sheetId="60" r:id="rId10"/>
    <sheet name="B23" sheetId="16" r:id="rId11"/>
    <sheet name="B24" sheetId="43" r:id="rId12"/>
    <sheet name="B2411" sheetId="27" r:id="rId13"/>
    <sheet name="B2412" sheetId="24" r:id="rId14"/>
    <sheet name="B2413" sheetId="54" r:id="rId15"/>
    <sheet name="B2421" sheetId="55" r:id="rId16"/>
    <sheet name="B31" sheetId="46" r:id="rId17"/>
    <sheet name="B311" sheetId="17" r:id="rId18"/>
    <sheet name="B312" sheetId="52" r:id="rId19"/>
    <sheet name="B313" sheetId="41" r:id="rId20"/>
    <sheet name="B32" sheetId="44" r:id="rId21"/>
    <sheet name="B321" sheetId="19" r:id="rId22"/>
    <sheet name="B322" sheetId="26" r:id="rId23"/>
    <sheet name="B41" sheetId="4" r:id="rId24"/>
    <sheet name="B42" sheetId="29" r:id="rId25"/>
    <sheet name="B43" sheetId="51" r:id="rId26"/>
    <sheet name="B44" sheetId="47" r:id="rId27"/>
    <sheet name="B441" sheetId="8" r:id="rId28"/>
    <sheet name="B442" sheetId="9" r:id="rId29"/>
    <sheet name="B443" sheetId="10" r:id="rId30"/>
    <sheet name="B45" sheetId="48" r:id="rId31"/>
    <sheet name="B46" sheetId="21" r:id="rId32"/>
    <sheet name="B461" sheetId="39" r:id="rId33"/>
    <sheet name="B462" sheetId="33" r:id="rId34"/>
    <sheet name="B463" sheetId="37" r:id="rId35"/>
    <sheet name="B464" sheetId="6" r:id="rId36"/>
    <sheet name="B47" sheetId="34" r:id="rId37"/>
    <sheet name="B51" sheetId="50" r:id="rId38"/>
    <sheet name="B52" sheetId="5" r:id="rId39"/>
    <sheet name="B53" sheetId="49" r:id="rId40"/>
    <sheet name="B54" sheetId="36" r:id="rId41"/>
    <sheet name="B541" sheetId="40" r:id="rId42"/>
    <sheet name="B542" sheetId="35" r:id="rId43"/>
    <sheet name="B543" sheetId="38" r:id="rId44"/>
    <sheet name="B51102" sheetId="58" r:id="rId45"/>
    <sheet name="B51202" sheetId="59" r:id="rId46"/>
    <sheet name="B51110" sheetId="57" r:id="rId47"/>
    <sheet name="B51210" sheetId="56" r:id="rId48"/>
  </sheets>
  <calcPr calcId="145621"/>
</workbook>
</file>

<file path=xl/calcChain.xml><?xml version="1.0" encoding="utf-8"?>
<calcChain xmlns="http://schemas.openxmlformats.org/spreadsheetml/2006/main">
  <c r="L5" i="17" l="1"/>
  <c r="L6" i="17"/>
  <c r="L7" i="17"/>
  <c r="L8" i="17"/>
  <c r="L9" i="17"/>
  <c r="L10" i="17"/>
  <c r="L11" i="17"/>
  <c r="L12" i="17"/>
  <c r="L13" i="17"/>
  <c r="L14" i="17"/>
  <c r="L15" i="17"/>
  <c r="L16" i="17"/>
  <c r="L17" i="17"/>
  <c r="L18" i="17"/>
  <c r="L19" i="17"/>
  <c r="L20" i="17"/>
  <c r="L21" i="17"/>
  <c r="L22" i="17"/>
  <c r="L23" i="17"/>
  <c r="L4" i="17"/>
  <c r="G49" i="38" l="1"/>
  <c r="G48" i="38"/>
  <c r="G47" i="38"/>
  <c r="G46" i="38"/>
  <c r="G45" i="38"/>
  <c r="G44" i="38"/>
  <c r="G48" i="35"/>
  <c r="G47" i="35"/>
  <c r="G46" i="35"/>
  <c r="G45" i="35"/>
  <c r="G44" i="35"/>
  <c r="G43" i="35"/>
  <c r="G49" i="40"/>
  <c r="G48" i="40"/>
  <c r="G47" i="40"/>
  <c r="G46" i="40"/>
  <c r="G45" i="40"/>
  <c r="G44" i="40"/>
  <c r="I61" i="49" l="1"/>
  <c r="E61" i="49"/>
  <c r="P58" i="49"/>
  <c r="O58" i="49"/>
  <c r="N58" i="49"/>
  <c r="M58" i="49"/>
  <c r="K58" i="49"/>
  <c r="J58" i="49"/>
  <c r="I58" i="49"/>
  <c r="H58" i="49"/>
  <c r="G58" i="49"/>
  <c r="F58" i="49"/>
  <c r="E58" i="49"/>
  <c r="P55" i="49"/>
  <c r="O55" i="49"/>
  <c r="N55" i="49"/>
  <c r="M55" i="49"/>
  <c r="L55" i="49"/>
  <c r="I55" i="49"/>
  <c r="H55" i="49"/>
  <c r="G55" i="49"/>
  <c r="F55" i="49"/>
  <c r="E55" i="49"/>
  <c r="P52" i="49"/>
  <c r="O52" i="49"/>
  <c r="N52" i="49"/>
  <c r="M52" i="49"/>
  <c r="P49" i="49"/>
  <c r="O49" i="49"/>
  <c r="N49" i="49"/>
  <c r="M49" i="49"/>
  <c r="P46" i="49"/>
  <c r="O46" i="49"/>
  <c r="N46" i="49"/>
  <c r="M46" i="49"/>
  <c r="P43" i="49"/>
  <c r="O43" i="49"/>
  <c r="N43" i="49"/>
  <c r="M43" i="49"/>
  <c r="P40" i="49"/>
  <c r="O40" i="49"/>
  <c r="N40" i="49"/>
  <c r="M40" i="49"/>
  <c r="P37" i="49"/>
  <c r="O37" i="49"/>
  <c r="N37" i="49"/>
  <c r="M37" i="49"/>
  <c r="P34" i="49"/>
  <c r="O34" i="49"/>
  <c r="N34" i="49"/>
  <c r="M34" i="49"/>
  <c r="P31" i="49"/>
  <c r="O31" i="49"/>
  <c r="N31" i="49"/>
  <c r="M31" i="49"/>
  <c r="P28" i="49"/>
  <c r="O28" i="49"/>
  <c r="N28" i="49"/>
  <c r="M28" i="49"/>
  <c r="P25" i="49"/>
  <c r="O25" i="49"/>
  <c r="N25" i="49"/>
  <c r="M25" i="49"/>
  <c r="P22" i="49"/>
  <c r="O22" i="49"/>
  <c r="N22" i="49"/>
  <c r="M22" i="49"/>
  <c r="P19" i="49"/>
  <c r="O19" i="49"/>
  <c r="N19" i="49"/>
  <c r="M19" i="49"/>
  <c r="P16" i="49"/>
  <c r="O16" i="49"/>
  <c r="N16" i="49"/>
  <c r="M16" i="49"/>
  <c r="P13" i="49"/>
  <c r="O13" i="49"/>
  <c r="N13" i="49"/>
  <c r="M13" i="49"/>
  <c r="P10" i="49"/>
  <c r="O10" i="49"/>
  <c r="N10" i="49"/>
  <c r="M10" i="49"/>
  <c r="P7" i="49"/>
  <c r="O7" i="49"/>
  <c r="N7" i="49"/>
  <c r="M7" i="49"/>
  <c r="L7" i="49"/>
  <c r="K7" i="49"/>
  <c r="J7" i="49"/>
  <c r="I7" i="49"/>
  <c r="H7" i="49"/>
  <c r="G7" i="49"/>
  <c r="J59" i="49"/>
  <c r="J61" i="49" s="1"/>
  <c r="I59" i="49"/>
  <c r="H59" i="49"/>
  <c r="H61" i="49" s="1"/>
  <c r="G59" i="49"/>
  <c r="G61" i="49" s="1"/>
  <c r="F59" i="49"/>
  <c r="F61" i="49" s="1"/>
  <c r="E59" i="49"/>
  <c r="Q60" i="49"/>
  <c r="Q57" i="49"/>
  <c r="Q54" i="49"/>
  <c r="Q51" i="49"/>
  <c r="Q48" i="49"/>
  <c r="Q45" i="49"/>
  <c r="Q42" i="49"/>
  <c r="Q39" i="49"/>
  <c r="Q36" i="49"/>
  <c r="Q33" i="49"/>
  <c r="Q30" i="49"/>
  <c r="Q27" i="49"/>
  <c r="Q24" i="49"/>
  <c r="Q21" i="49"/>
  <c r="Q18" i="49"/>
  <c r="Q15" i="49"/>
  <c r="Q12" i="49"/>
  <c r="Q9" i="49"/>
  <c r="Q6" i="49"/>
  <c r="B3" i="49"/>
  <c r="C68" i="49" s="1"/>
  <c r="F5" i="51"/>
  <c r="F7" i="29"/>
  <c r="C65" i="49" l="1"/>
  <c r="C69" i="49"/>
  <c r="C66" i="49"/>
  <c r="C67" i="49"/>
  <c r="I14" i="29"/>
  <c r="C3" i="19"/>
  <c r="E14" i="29"/>
  <c r="C12" i="4"/>
  <c r="D7" i="4"/>
  <c r="E3" i="41"/>
  <c r="D3" i="41"/>
  <c r="E63" i="41"/>
  <c r="B63" i="41"/>
  <c r="D3" i="48"/>
  <c r="E3" i="48"/>
  <c r="E63" i="48"/>
  <c r="B63" i="48"/>
  <c r="F65" i="41" l="1"/>
  <c r="F67" i="41"/>
  <c r="C77" i="41"/>
  <c r="C81" i="41"/>
  <c r="C66" i="41"/>
  <c r="C70" i="41"/>
  <c r="C65" i="41"/>
  <c r="C74" i="41"/>
  <c r="C78" i="41"/>
  <c r="C82" i="41"/>
  <c r="C67" i="41"/>
  <c r="C71" i="41"/>
  <c r="C75" i="41"/>
  <c r="C79" i="41"/>
  <c r="C83" i="41"/>
  <c r="C68" i="41"/>
  <c r="C72" i="41"/>
  <c r="C76" i="41"/>
  <c r="C80" i="41"/>
  <c r="C84" i="41"/>
  <c r="C69" i="41"/>
  <c r="C73" i="41"/>
  <c r="D30" i="19"/>
  <c r="D26" i="19"/>
  <c r="D22" i="19"/>
  <c r="D18" i="19"/>
  <c r="D14" i="19"/>
  <c r="D29" i="19"/>
  <c r="D25" i="19"/>
  <c r="D21" i="19"/>
  <c r="D17" i="19"/>
  <c r="D13" i="19"/>
  <c r="D32" i="19"/>
  <c r="D28" i="19"/>
  <c r="D24" i="19"/>
  <c r="D20" i="19"/>
  <c r="D16" i="19"/>
  <c r="D31" i="19"/>
  <c r="D27" i="19"/>
  <c r="D23" i="19"/>
  <c r="D19" i="19"/>
  <c r="D15" i="19"/>
  <c r="C70" i="49"/>
  <c r="K53" i="49" l="1"/>
  <c r="K55" i="49" s="1"/>
  <c r="P59" i="49"/>
  <c r="P61" i="49" s="1"/>
  <c r="L50" i="49"/>
  <c r="L52" i="49" s="1"/>
  <c r="L44" i="49"/>
  <c r="L46" i="49" s="1"/>
  <c r="L38" i="49"/>
  <c r="L40" i="49" s="1"/>
  <c r="L32" i="49"/>
  <c r="L34" i="49" s="1"/>
  <c r="L26" i="49"/>
  <c r="L28" i="49" s="1"/>
  <c r="J17" i="49"/>
  <c r="J19" i="49" s="1"/>
  <c r="L20" i="49"/>
  <c r="L22" i="49" s="1"/>
  <c r="L11" i="49"/>
  <c r="L13" i="49" s="1"/>
  <c r="E5" i="49"/>
  <c r="G32" i="49"/>
  <c r="G34" i="49" s="1"/>
  <c r="I50" i="49"/>
  <c r="I52" i="49" s="1"/>
  <c r="E50" i="49"/>
  <c r="G47" i="49"/>
  <c r="G49" i="49" s="1"/>
  <c r="I44" i="49"/>
  <c r="I46" i="49" s="1"/>
  <c r="E44" i="49"/>
  <c r="G41" i="49"/>
  <c r="G43" i="49" s="1"/>
  <c r="I38" i="49"/>
  <c r="I40" i="49" s="1"/>
  <c r="E38" i="49"/>
  <c r="G35" i="49"/>
  <c r="G37" i="49" s="1"/>
  <c r="I29" i="49"/>
  <c r="I31" i="49" s="1"/>
  <c r="E29" i="49"/>
  <c r="G26" i="49"/>
  <c r="G28" i="49" s="1"/>
  <c r="I23" i="49"/>
  <c r="I25" i="49" s="1"/>
  <c r="E23" i="49"/>
  <c r="G20" i="49"/>
  <c r="G22" i="49" s="1"/>
  <c r="G17" i="49"/>
  <c r="G19" i="49" s="1"/>
  <c r="I14" i="49"/>
  <c r="I16" i="49" s="1"/>
  <c r="E14" i="49"/>
  <c r="G11" i="49"/>
  <c r="G13" i="49" s="1"/>
  <c r="I8" i="49"/>
  <c r="I10" i="49" s="1"/>
  <c r="E8" i="49"/>
  <c r="L56" i="49"/>
  <c r="O59" i="49"/>
  <c r="O61" i="49" s="1"/>
  <c r="K50" i="49"/>
  <c r="K52" i="49" s="1"/>
  <c r="K44" i="49"/>
  <c r="K46" i="49" s="1"/>
  <c r="K38" i="49"/>
  <c r="K40" i="49" s="1"/>
  <c r="K32" i="49"/>
  <c r="K34" i="49" s="1"/>
  <c r="K26" i="49"/>
  <c r="K28" i="49" s="1"/>
  <c r="I17" i="49"/>
  <c r="I19" i="49" s="1"/>
  <c r="K20" i="49"/>
  <c r="K22" i="49" s="1"/>
  <c r="K11" i="49"/>
  <c r="K13" i="49" s="1"/>
  <c r="J32" i="49"/>
  <c r="J34" i="49" s="1"/>
  <c r="F32" i="49"/>
  <c r="F34" i="49" s="1"/>
  <c r="H50" i="49"/>
  <c r="H52" i="49" s="1"/>
  <c r="J47" i="49"/>
  <c r="J49" i="49" s="1"/>
  <c r="F47" i="49"/>
  <c r="F49" i="49" s="1"/>
  <c r="H44" i="49"/>
  <c r="H46" i="49" s="1"/>
  <c r="J41" i="49"/>
  <c r="J43" i="49" s="1"/>
  <c r="F41" i="49"/>
  <c r="F43" i="49" s="1"/>
  <c r="H38" i="49"/>
  <c r="H40" i="49" s="1"/>
  <c r="J35" i="49"/>
  <c r="J37" i="49" s="1"/>
  <c r="F35" i="49"/>
  <c r="F37" i="49" s="1"/>
  <c r="H29" i="49"/>
  <c r="H31" i="49" s="1"/>
  <c r="J26" i="49"/>
  <c r="J28" i="49" s="1"/>
  <c r="F26" i="49"/>
  <c r="F28" i="49" s="1"/>
  <c r="H23" i="49"/>
  <c r="H25" i="49" s="1"/>
  <c r="J20" i="49"/>
  <c r="J22" i="49" s="1"/>
  <c r="F20" i="49"/>
  <c r="F22" i="49" s="1"/>
  <c r="F17" i="49"/>
  <c r="F19" i="49" s="1"/>
  <c r="H14" i="49"/>
  <c r="H16" i="49" s="1"/>
  <c r="J11" i="49"/>
  <c r="J13" i="49" s="1"/>
  <c r="F11" i="49"/>
  <c r="F13" i="49" s="1"/>
  <c r="H8" i="49"/>
  <c r="H10" i="49" s="1"/>
  <c r="F5" i="49"/>
  <c r="F7" i="49" s="1"/>
  <c r="H20" i="49"/>
  <c r="H22" i="49" s="1"/>
  <c r="J14" i="49"/>
  <c r="J16" i="49" s="1"/>
  <c r="H11" i="49"/>
  <c r="H13" i="49" s="1"/>
  <c r="J8" i="49"/>
  <c r="J10" i="49" s="1"/>
  <c r="N59" i="49"/>
  <c r="N61" i="49" s="1"/>
  <c r="L59" i="49"/>
  <c r="L61" i="49" s="1"/>
  <c r="L47" i="49"/>
  <c r="L49" i="49" s="1"/>
  <c r="L41" i="49"/>
  <c r="L43" i="49" s="1"/>
  <c r="L35" i="49"/>
  <c r="L37" i="49" s="1"/>
  <c r="L29" i="49"/>
  <c r="L31" i="49" s="1"/>
  <c r="L23" i="49"/>
  <c r="L25" i="49" s="1"/>
  <c r="L17" i="49"/>
  <c r="L19" i="49" s="1"/>
  <c r="L14" i="49"/>
  <c r="L16" i="49" s="1"/>
  <c r="L8" i="49"/>
  <c r="L10" i="49" s="1"/>
  <c r="I32" i="49"/>
  <c r="I34" i="49" s="1"/>
  <c r="E32" i="49"/>
  <c r="G50" i="49"/>
  <c r="G52" i="49" s="1"/>
  <c r="I47" i="49"/>
  <c r="I49" i="49" s="1"/>
  <c r="E47" i="49"/>
  <c r="G44" i="49"/>
  <c r="G46" i="49" s="1"/>
  <c r="I41" i="49"/>
  <c r="I43" i="49" s="1"/>
  <c r="E41" i="49"/>
  <c r="G38" i="49"/>
  <c r="G40" i="49" s="1"/>
  <c r="I35" i="49"/>
  <c r="I37" i="49" s="1"/>
  <c r="E35" i="49"/>
  <c r="G29" i="49"/>
  <c r="G31" i="49" s="1"/>
  <c r="I26" i="49"/>
  <c r="I28" i="49" s="1"/>
  <c r="E26" i="49"/>
  <c r="G23" i="49"/>
  <c r="G25" i="49" s="1"/>
  <c r="I20" i="49"/>
  <c r="I22" i="49" s="1"/>
  <c r="E20" i="49"/>
  <c r="E17" i="49"/>
  <c r="G14" i="49"/>
  <c r="G16" i="49" s="1"/>
  <c r="I11" i="49"/>
  <c r="I13" i="49" s="1"/>
  <c r="E11" i="49"/>
  <c r="G8" i="49"/>
  <c r="G10" i="49" s="1"/>
  <c r="J53" i="49"/>
  <c r="M59" i="49"/>
  <c r="M61" i="49" s="1"/>
  <c r="K59" i="49"/>
  <c r="K47" i="49"/>
  <c r="K49" i="49" s="1"/>
  <c r="K41" i="49"/>
  <c r="K43" i="49" s="1"/>
  <c r="K35" i="49"/>
  <c r="K37" i="49" s="1"/>
  <c r="K29" i="49"/>
  <c r="K31" i="49" s="1"/>
  <c r="K23" i="49"/>
  <c r="K25" i="49" s="1"/>
  <c r="K17" i="49"/>
  <c r="K19" i="49" s="1"/>
  <c r="K14" i="49"/>
  <c r="K16" i="49" s="1"/>
  <c r="K8" i="49"/>
  <c r="K10" i="49" s="1"/>
  <c r="H32" i="49"/>
  <c r="H34" i="49" s="1"/>
  <c r="J50" i="49"/>
  <c r="J52" i="49" s="1"/>
  <c r="F50" i="49"/>
  <c r="F52" i="49" s="1"/>
  <c r="H47" i="49"/>
  <c r="H49" i="49" s="1"/>
  <c r="J44" i="49"/>
  <c r="J46" i="49" s="1"/>
  <c r="F44" i="49"/>
  <c r="F46" i="49" s="1"/>
  <c r="H41" i="49"/>
  <c r="H43" i="49" s="1"/>
  <c r="J38" i="49"/>
  <c r="J40" i="49" s="1"/>
  <c r="F38" i="49"/>
  <c r="F40" i="49" s="1"/>
  <c r="H35" i="49"/>
  <c r="H37" i="49" s="1"/>
  <c r="J29" i="49"/>
  <c r="J31" i="49" s="1"/>
  <c r="F29" i="49"/>
  <c r="F31" i="49" s="1"/>
  <c r="H26" i="49"/>
  <c r="H28" i="49" s="1"/>
  <c r="J23" i="49"/>
  <c r="J25" i="49" s="1"/>
  <c r="F23" i="49"/>
  <c r="F25" i="49" s="1"/>
  <c r="H17" i="49"/>
  <c r="H19" i="49" s="1"/>
  <c r="F14" i="49"/>
  <c r="F16" i="49" s="1"/>
  <c r="F8" i="49"/>
  <c r="F10" i="49" s="1"/>
  <c r="D11" i="19"/>
  <c r="C18" i="4" s="1"/>
  <c r="C63" i="41"/>
  <c r="D7" i="41" l="1"/>
  <c r="F66" i="41"/>
  <c r="D9" i="41"/>
  <c r="D5" i="41"/>
  <c r="D8" i="41"/>
  <c r="D6" i="41"/>
  <c r="A89" i="41"/>
  <c r="A88" i="41"/>
  <c r="A91" i="41"/>
  <c r="A87" i="41"/>
  <c r="A90" i="41"/>
  <c r="E43" i="49"/>
  <c r="Q43" i="49" s="1"/>
  <c r="Q41" i="49"/>
  <c r="Q38" i="49"/>
  <c r="E40" i="49"/>
  <c r="Q40" i="49" s="1"/>
  <c r="J55" i="49"/>
  <c r="Q55" i="49" s="1"/>
  <c r="Q53" i="49"/>
  <c r="E37" i="49"/>
  <c r="Q37" i="49" s="1"/>
  <c r="Q35" i="49"/>
  <c r="Q29" i="49"/>
  <c r="E31" i="49"/>
  <c r="Q31" i="49" s="1"/>
  <c r="Q5" i="49"/>
  <c r="E7" i="49"/>
  <c r="Q7" i="49" s="1"/>
  <c r="E19" i="49"/>
  <c r="Q19" i="49" s="1"/>
  <c r="Q17" i="49"/>
  <c r="E28" i="49"/>
  <c r="Q28" i="49" s="1"/>
  <c r="Q26" i="49"/>
  <c r="E34" i="49"/>
  <c r="Q34" i="49" s="1"/>
  <c r="Q32" i="49"/>
  <c r="Q56" i="49"/>
  <c r="L58" i="49"/>
  <c r="Q58" i="49" s="1"/>
  <c r="E16" i="49"/>
  <c r="Q16" i="49" s="1"/>
  <c r="Q14" i="49"/>
  <c r="E25" i="49"/>
  <c r="Q25" i="49" s="1"/>
  <c r="Q23" i="49"/>
  <c r="E52" i="49"/>
  <c r="Q52" i="49" s="1"/>
  <c r="Q50" i="49"/>
  <c r="Q59" i="49"/>
  <c r="K61" i="49"/>
  <c r="Q61" i="49" s="1"/>
  <c r="E13" i="49"/>
  <c r="Q13" i="49" s="1"/>
  <c r="Q11" i="49"/>
  <c r="Q20" i="49"/>
  <c r="E22" i="49"/>
  <c r="Q22" i="49" s="1"/>
  <c r="Q47" i="49"/>
  <c r="E49" i="49"/>
  <c r="Q49" i="49" s="1"/>
  <c r="E10" i="49"/>
  <c r="Q10" i="49" s="1"/>
  <c r="Q8" i="49"/>
  <c r="E46" i="49"/>
  <c r="Q46" i="49" s="1"/>
  <c r="Q44" i="49"/>
  <c r="F63" i="41"/>
  <c r="E9" i="41" l="1"/>
  <c r="E6" i="41"/>
  <c r="E8" i="41"/>
  <c r="E5" i="41"/>
  <c r="E7" i="41"/>
  <c r="A92" i="41"/>
  <c r="C13" i="4"/>
  <c r="B91" i="41"/>
  <c r="B87" i="41"/>
  <c r="B90" i="41"/>
  <c r="B89" i="41"/>
  <c r="B88" i="41"/>
  <c r="Q3" i="49"/>
  <c r="D3" i="49" s="1"/>
  <c r="F5" i="29"/>
  <c r="C5" i="29"/>
  <c r="C8" i="4"/>
  <c r="B92" i="41" l="1"/>
  <c r="C92" i="41" s="1"/>
  <c r="F67" i="48"/>
  <c r="F65" i="48"/>
  <c r="C83" i="48"/>
  <c r="E66" i="6"/>
  <c r="C66" i="6"/>
  <c r="D66" i="6" s="1"/>
  <c r="D67" i="6" s="1"/>
  <c r="H2" i="6" s="1"/>
  <c r="E65" i="6"/>
  <c r="C65" i="6"/>
  <c r="E64" i="6"/>
  <c r="E67" i="6" s="1"/>
  <c r="E68" i="6" s="1"/>
  <c r="C64" i="6"/>
  <c r="C19" i="16"/>
  <c r="C20" i="16" s="1"/>
  <c r="D19" i="16"/>
  <c r="D20" i="16" s="1"/>
  <c r="F8" i="41" l="1"/>
  <c r="F7" i="41"/>
  <c r="F6" i="41"/>
  <c r="F9" i="41"/>
  <c r="F5" i="41"/>
  <c r="C90" i="41"/>
  <c r="C89" i="41"/>
  <c r="C88" i="41"/>
  <c r="C91" i="41"/>
  <c r="C87" i="41"/>
  <c r="C69" i="48"/>
  <c r="C73" i="48"/>
  <c r="C77" i="48"/>
  <c r="C81" i="48"/>
  <c r="C66" i="48"/>
  <c r="C68" i="48"/>
  <c r="C72" i="48"/>
  <c r="C76" i="48"/>
  <c r="C80" i="48"/>
  <c r="C84" i="48"/>
  <c r="C65" i="48"/>
  <c r="C67" i="48"/>
  <c r="C70" i="48"/>
  <c r="C74" i="48"/>
  <c r="C78" i="48"/>
  <c r="C82" i="48"/>
  <c r="C71" i="48"/>
  <c r="C75" i="48"/>
  <c r="C79" i="48"/>
  <c r="E46" i="37"/>
  <c r="C46" i="37"/>
  <c r="D46" i="37" s="1"/>
  <c r="D47" i="37" s="1"/>
  <c r="H2" i="37" s="1"/>
  <c r="E45" i="37"/>
  <c r="C45" i="37"/>
  <c r="E44" i="37"/>
  <c r="C44" i="37"/>
  <c r="E46" i="33"/>
  <c r="C46" i="33"/>
  <c r="D46" i="33" s="1"/>
  <c r="D47" i="33" s="1"/>
  <c r="H2" i="33" s="1"/>
  <c r="E45" i="33"/>
  <c r="C45" i="33"/>
  <c r="E44" i="33"/>
  <c r="C44" i="33"/>
  <c r="E46" i="39"/>
  <c r="E45" i="39"/>
  <c r="E44" i="39"/>
  <c r="E47" i="37" l="1"/>
  <c r="E48" i="37" s="1"/>
  <c r="C63" i="48"/>
  <c r="E47" i="33"/>
  <c r="E48" i="33" s="1"/>
  <c r="G27" i="37"/>
  <c r="E47" i="39"/>
  <c r="E48" i="39" s="1"/>
  <c r="C11" i="6"/>
  <c r="D17" i="6" s="1"/>
  <c r="B13" i="6"/>
  <c r="C56" i="6"/>
  <c r="A91" i="48" l="1"/>
  <c r="A89" i="48"/>
  <c r="A87" i="48"/>
  <c r="A90" i="48"/>
  <c r="A88" i="48"/>
  <c r="F66" i="48"/>
  <c r="F63" i="48" s="1"/>
  <c r="D7" i="48"/>
  <c r="D8" i="48"/>
  <c r="D9" i="48"/>
  <c r="D5" i="48"/>
  <c r="D6" i="48"/>
  <c r="D18" i="6"/>
  <c r="C25" i="23"/>
  <c r="C6" i="4" s="1"/>
  <c r="A92" i="48" l="1"/>
  <c r="E6" i="48"/>
  <c r="B90" i="48"/>
  <c r="B88" i="48"/>
  <c r="B91" i="48"/>
  <c r="B89" i="48"/>
  <c r="B87" i="48"/>
  <c r="E5" i="48"/>
  <c r="E7" i="48"/>
  <c r="E9" i="48"/>
  <c r="E8" i="48"/>
  <c r="C46" i="39"/>
  <c r="D46" i="39" s="1"/>
  <c r="C44" i="39"/>
  <c r="C45" i="39"/>
  <c r="Q21" i="5"/>
  <c r="R21" i="5" s="1"/>
  <c r="Q20" i="5"/>
  <c r="R20" i="5" s="1"/>
  <c r="Q19" i="5"/>
  <c r="R19" i="5" s="1"/>
  <c r="Q18" i="5"/>
  <c r="R18" i="5" s="1"/>
  <c r="Q17" i="5"/>
  <c r="R17" i="5" s="1"/>
  <c r="Q16" i="5"/>
  <c r="R16" i="5" s="1"/>
  <c r="M17" i="5"/>
  <c r="N17" i="5" s="1"/>
  <c r="M18" i="5"/>
  <c r="N18" i="5" s="1"/>
  <c r="M19" i="5"/>
  <c r="N19" i="5" s="1"/>
  <c r="M20" i="5"/>
  <c r="N20" i="5" s="1"/>
  <c r="M21" i="5"/>
  <c r="N21" i="5" s="1"/>
  <c r="M16" i="5"/>
  <c r="N16" i="5" s="1"/>
  <c r="B92" i="48" l="1"/>
  <c r="C92" i="48" s="1"/>
  <c r="D47" i="39"/>
  <c r="H2" i="39" s="1"/>
  <c r="F7" i="48" l="1"/>
  <c r="F6" i="48"/>
  <c r="F9" i="48"/>
  <c r="F5" i="48"/>
  <c r="F8" i="48"/>
  <c r="D29" i="40"/>
  <c r="F21" i="40"/>
  <c r="F19" i="40"/>
  <c r="F20" i="40"/>
  <c r="F17" i="40"/>
  <c r="F16" i="40"/>
  <c r="C16" i="40"/>
  <c r="C19" i="40"/>
  <c r="C18" i="40"/>
  <c r="C17" i="40"/>
  <c r="C21" i="40"/>
  <c r="C32" i="40"/>
  <c r="G11" i="40"/>
  <c r="E11" i="40"/>
  <c r="C9" i="40"/>
  <c r="C8" i="40"/>
  <c r="C7" i="40"/>
  <c r="C6" i="40"/>
  <c r="E3" i="40"/>
  <c r="C3" i="40"/>
  <c r="D21" i="39"/>
  <c r="C20" i="40" s="1"/>
  <c r="C40" i="39"/>
  <c r="D34" i="39"/>
  <c r="F32" i="39"/>
  <c r="G32" i="39" s="1"/>
  <c r="B13" i="39"/>
  <c r="C11" i="39"/>
  <c r="E13" i="40" s="1"/>
  <c r="D29" i="38"/>
  <c r="F21" i="38"/>
  <c r="F20" i="38"/>
  <c r="F19" i="38"/>
  <c r="F17" i="38"/>
  <c r="F16" i="38"/>
  <c r="C20" i="38"/>
  <c r="C19" i="38"/>
  <c r="C18" i="38"/>
  <c r="C17" i="38"/>
  <c r="C16" i="38"/>
  <c r="C32" i="38"/>
  <c r="G11" i="38"/>
  <c r="E11" i="38"/>
  <c r="C9" i="38"/>
  <c r="C8" i="38"/>
  <c r="C7" i="38"/>
  <c r="C6" i="38"/>
  <c r="E3" i="38"/>
  <c r="C3" i="38"/>
  <c r="D35" i="37"/>
  <c r="D22" i="37"/>
  <c r="C21" i="38" s="1"/>
  <c r="E16" i="29"/>
  <c r="E15" i="29"/>
  <c r="B11" i="39" s="1"/>
  <c r="C13" i="40" s="1"/>
  <c r="E17" i="29"/>
  <c r="B11" i="6" s="1"/>
  <c r="I17" i="29"/>
  <c r="B9" i="6" s="1"/>
  <c r="I16" i="29"/>
  <c r="B9" i="37" s="1"/>
  <c r="C12" i="38" s="1"/>
  <c r="I15" i="29"/>
  <c r="B9" i="39" s="1"/>
  <c r="C12" i="40" s="1"/>
  <c r="C41" i="37" l="1"/>
  <c r="F33" i="37"/>
  <c r="G33" i="37" s="1"/>
  <c r="B13" i="37"/>
  <c r="C11" i="37"/>
  <c r="E13" i="38" s="1"/>
  <c r="B11" i="37"/>
  <c r="C13" i="38" s="1"/>
  <c r="D28" i="35" l="1"/>
  <c r="C31" i="35"/>
  <c r="F16" i="35"/>
  <c r="C19" i="35"/>
  <c r="C18" i="35"/>
  <c r="C17" i="35"/>
  <c r="C16" i="35"/>
  <c r="C3" i="26"/>
  <c r="I20" i="26" l="1"/>
  <c r="I21" i="26"/>
  <c r="I22" i="26"/>
  <c r="I23" i="26"/>
  <c r="I24" i="26"/>
  <c r="I25" i="26"/>
  <c r="I26" i="26"/>
  <c r="I27" i="26"/>
  <c r="I28" i="26"/>
  <c r="I29" i="26"/>
  <c r="I30" i="26"/>
  <c r="I12" i="26"/>
  <c r="I13" i="26"/>
  <c r="I14" i="26"/>
  <c r="I15" i="26"/>
  <c r="I16" i="26"/>
  <c r="I17" i="26"/>
  <c r="I18" i="26"/>
  <c r="I19" i="26"/>
  <c r="H11" i="26"/>
  <c r="J20" i="26"/>
  <c r="J21" i="26"/>
  <c r="J22" i="26"/>
  <c r="J23" i="26"/>
  <c r="J24" i="26"/>
  <c r="J25" i="26"/>
  <c r="J26" i="26"/>
  <c r="J27" i="26"/>
  <c r="J28" i="26"/>
  <c r="J29" i="26"/>
  <c r="J30" i="26"/>
  <c r="J12" i="26"/>
  <c r="J13" i="26"/>
  <c r="J14" i="26"/>
  <c r="J15" i="26"/>
  <c r="J16" i="26"/>
  <c r="J17" i="26"/>
  <c r="J18" i="26"/>
  <c r="J19" i="26"/>
  <c r="G11" i="26"/>
  <c r="G20" i="26"/>
  <c r="G21" i="26"/>
  <c r="G22" i="26"/>
  <c r="G23" i="26"/>
  <c r="G24" i="26"/>
  <c r="G25" i="26"/>
  <c r="G26" i="26"/>
  <c r="G27" i="26"/>
  <c r="G28" i="26"/>
  <c r="G29" i="26"/>
  <c r="G30" i="26"/>
  <c r="G12" i="26"/>
  <c r="G13" i="26"/>
  <c r="G14" i="26"/>
  <c r="G15" i="26"/>
  <c r="G16" i="26"/>
  <c r="G17" i="26"/>
  <c r="G18" i="26"/>
  <c r="G19" i="26"/>
  <c r="J11" i="26"/>
  <c r="H20" i="26"/>
  <c r="H21" i="26"/>
  <c r="H22" i="26"/>
  <c r="H23" i="26"/>
  <c r="H24" i="26"/>
  <c r="H25" i="26"/>
  <c r="H26" i="26"/>
  <c r="H27" i="26"/>
  <c r="H28" i="26"/>
  <c r="H29" i="26"/>
  <c r="H30" i="26"/>
  <c r="H12" i="26"/>
  <c r="H13" i="26"/>
  <c r="H14" i="26"/>
  <c r="H15" i="26"/>
  <c r="H16" i="26"/>
  <c r="H17" i="26"/>
  <c r="H18" i="26"/>
  <c r="H19" i="26"/>
  <c r="I11" i="26"/>
  <c r="E11" i="35"/>
  <c r="G11" i="35" l="1"/>
  <c r="C9" i="35"/>
  <c r="C8" i="35"/>
  <c r="C7" i="35"/>
  <c r="C6" i="35"/>
  <c r="E3" i="35"/>
  <c r="C3" i="35"/>
  <c r="F31" i="33"/>
  <c r="G31" i="33" s="1"/>
  <c r="D33" i="33"/>
  <c r="D21" i="33"/>
  <c r="C20" i="35" s="1"/>
  <c r="I21" i="5"/>
  <c r="J21" i="5" s="1"/>
  <c r="I20" i="5"/>
  <c r="J20" i="5" s="1"/>
  <c r="I19" i="5"/>
  <c r="J19" i="5" s="1"/>
  <c r="I18" i="5"/>
  <c r="J18" i="5" s="1"/>
  <c r="I17" i="5"/>
  <c r="J17" i="5" s="1"/>
  <c r="I16" i="5"/>
  <c r="J16" i="5" s="1"/>
  <c r="B13" i="33"/>
  <c r="C11" i="33"/>
  <c r="E13" i="35" s="1"/>
  <c r="B11" i="33"/>
  <c r="C13" i="35" s="1"/>
  <c r="B7" i="29"/>
  <c r="B9" i="33"/>
  <c r="C12" i="35" s="1"/>
  <c r="C39" i="33" l="1"/>
  <c r="C5" i="10" l="1"/>
  <c r="C5" i="9"/>
  <c r="C5" i="8"/>
  <c r="I36" i="5"/>
  <c r="J36" i="5" s="1"/>
  <c r="F5" i="26"/>
  <c r="F6" i="26" s="1"/>
  <c r="E5" i="26"/>
  <c r="E6" i="26" s="1"/>
  <c r="D5" i="26"/>
  <c r="D6" i="26" s="1"/>
  <c r="C5" i="26"/>
  <c r="C6" i="26" s="1"/>
  <c r="C10" i="4"/>
  <c r="C9" i="4"/>
  <c r="C5" i="4"/>
  <c r="B5" i="29" s="1"/>
  <c r="C4" i="4"/>
  <c r="A5" i="29" s="1"/>
  <c r="C7" i="4"/>
  <c r="A7" i="29" s="1"/>
  <c r="C4" i="19"/>
  <c r="E9" i="19"/>
  <c r="F9" i="19" s="1"/>
  <c r="D9" i="19"/>
  <c r="E8" i="19"/>
  <c r="F8" i="19" s="1"/>
  <c r="D8" i="19"/>
  <c r="E7" i="19"/>
  <c r="F7" i="19" s="1"/>
  <c r="D7" i="19"/>
  <c r="E6" i="19"/>
  <c r="F6" i="19" s="1"/>
  <c r="D6" i="19"/>
  <c r="C7" i="19"/>
  <c r="C8" i="19"/>
  <c r="C9" i="19"/>
  <c r="C6" i="19"/>
  <c r="C28" i="23"/>
  <c r="C11" i="4" s="1"/>
  <c r="I32" i="5"/>
  <c r="J32" i="5" s="1"/>
  <c r="I31" i="5"/>
  <c r="J31" i="5" s="1"/>
  <c r="I37" i="5"/>
  <c r="J37" i="5" s="1"/>
  <c r="I30" i="5"/>
  <c r="J30" i="5" s="1"/>
  <c r="G49" i="6" s="1"/>
  <c r="I25" i="5"/>
  <c r="J25" i="5" s="1"/>
  <c r="G29" i="6" s="1"/>
  <c r="I15" i="5"/>
  <c r="J15" i="5" s="1"/>
  <c r="I12" i="5"/>
  <c r="J12" i="5" s="1"/>
  <c r="I14" i="5"/>
  <c r="J14" i="5" s="1"/>
  <c r="I13" i="5"/>
  <c r="J13" i="5" s="1"/>
  <c r="I6" i="5"/>
  <c r="J6" i="5" s="1"/>
  <c r="I7" i="5"/>
  <c r="J7" i="5" s="1"/>
  <c r="I8" i="5"/>
  <c r="J8" i="5" s="1"/>
  <c r="I5" i="5"/>
  <c r="J5" i="5" s="1"/>
  <c r="G15" i="29"/>
  <c r="D11" i="39" s="1"/>
  <c r="G13" i="40" s="1"/>
  <c r="G16" i="29"/>
  <c r="G14" i="29"/>
  <c r="G17" i="29"/>
  <c r="D11" i="6" s="1"/>
  <c r="D7" i="29" l="1"/>
  <c r="C10" i="8"/>
  <c r="E5" i="29"/>
  <c r="E9" i="6" s="1"/>
  <c r="E5" i="51"/>
  <c r="D5" i="29"/>
  <c r="D5" i="51"/>
  <c r="L17" i="29"/>
  <c r="D9" i="6" s="1"/>
  <c r="F18" i="6" s="1"/>
  <c r="G18" i="6" s="1"/>
  <c r="J10" i="29"/>
  <c r="K10" i="29" s="1"/>
  <c r="C11" i="8" s="1"/>
  <c r="C29" i="23"/>
  <c r="E9" i="39"/>
  <c r="D11" i="33"/>
  <c r="G13" i="35" s="1"/>
  <c r="D11" i="37"/>
  <c r="G13" i="38" s="1"/>
  <c r="E9" i="33"/>
  <c r="L15" i="29"/>
  <c r="L14" i="29"/>
  <c r="L16" i="29"/>
  <c r="D9" i="37" s="1"/>
  <c r="H31" i="26"/>
  <c r="I31" i="26"/>
  <c r="J31" i="26"/>
  <c r="G31" i="26"/>
  <c r="E9" i="37" l="1"/>
  <c r="C13" i="8"/>
  <c r="D13" i="8"/>
  <c r="E27" i="6"/>
  <c r="D39" i="6"/>
  <c r="E47" i="6"/>
  <c r="F51" i="6" s="1"/>
  <c r="G51" i="6" s="1"/>
  <c r="E15" i="6"/>
  <c r="F22" i="6" s="1"/>
  <c r="G22" i="6" s="1"/>
  <c r="H8" i="26"/>
  <c r="G8" i="26"/>
  <c r="J8" i="26"/>
  <c r="E11" i="6"/>
  <c r="E11" i="39"/>
  <c r="G12" i="40" s="1"/>
  <c r="E11" i="37"/>
  <c r="G12" i="38" s="1"/>
  <c r="I8" i="26"/>
  <c r="E11" i="33"/>
  <c r="G12" i="35" s="1"/>
  <c r="F19" i="6"/>
  <c r="G19" i="6" s="1"/>
  <c r="F42" i="6"/>
  <c r="G42" i="6" s="1"/>
  <c r="F20" i="6"/>
  <c r="G20" i="6" s="1"/>
  <c r="F33" i="6"/>
  <c r="G33" i="6" s="1"/>
  <c r="F21" i="6"/>
  <c r="G21" i="6" s="1"/>
  <c r="F34" i="6"/>
  <c r="G34" i="6" s="1"/>
  <c r="F23" i="6"/>
  <c r="G23" i="6" s="1"/>
  <c r="F17" i="6"/>
  <c r="G17" i="6" s="1"/>
  <c r="F41" i="6"/>
  <c r="G41" i="6" s="1"/>
  <c r="D44" i="38"/>
  <c r="D41" i="38"/>
  <c r="C39" i="38"/>
  <c r="D46" i="38"/>
  <c r="D45" i="38"/>
  <c r="F39" i="38"/>
  <c r="C40" i="38"/>
  <c r="D9" i="33"/>
  <c r="G38" i="35" s="1"/>
  <c r="D9" i="39"/>
  <c r="F13" i="37"/>
  <c r="C34" i="38" s="1"/>
  <c r="E15" i="37"/>
  <c r="F19" i="37" s="1"/>
  <c r="G19" i="37" s="1"/>
  <c r="E44" i="38"/>
  <c r="E45" i="38"/>
  <c r="G40" i="38"/>
  <c r="D40" i="38"/>
  <c r="G39" i="38"/>
  <c r="D39" i="38"/>
  <c r="E12" i="38"/>
  <c r="E46" i="38"/>
  <c r="F13" i="39"/>
  <c r="D41" i="40"/>
  <c r="D45" i="40"/>
  <c r="F39" i="40"/>
  <c r="D46" i="40"/>
  <c r="D44" i="40"/>
  <c r="C40" i="40"/>
  <c r="C39" i="40"/>
  <c r="E28" i="37"/>
  <c r="D45" i="35"/>
  <c r="F38" i="35"/>
  <c r="D44" i="35"/>
  <c r="D40" i="35"/>
  <c r="D43" i="35"/>
  <c r="C39" i="35"/>
  <c r="C38" i="35"/>
  <c r="F13" i="33"/>
  <c r="F43" i="6" l="1"/>
  <c r="G43" i="6" s="1"/>
  <c r="F31" i="6"/>
  <c r="G31" i="6" s="1"/>
  <c r="F32" i="6"/>
  <c r="G32" i="6" s="1"/>
  <c r="C17" i="4"/>
  <c r="F4" i="8"/>
  <c r="F7" i="8" s="1"/>
  <c r="F4" i="10"/>
  <c r="F7" i="10" s="1"/>
  <c r="F4" i="9"/>
  <c r="F7" i="9" s="1"/>
  <c r="D11" i="29"/>
  <c r="E4" i="10"/>
  <c r="E7" i="10" s="1"/>
  <c r="E4" i="9"/>
  <c r="E7" i="9" s="1"/>
  <c r="C16" i="4"/>
  <c r="E4" i="8"/>
  <c r="E7" i="8" s="1"/>
  <c r="C11" i="29"/>
  <c r="D4" i="9"/>
  <c r="D7" i="9" s="1"/>
  <c r="B11" i="29"/>
  <c r="D4" i="10"/>
  <c r="D7" i="10" s="1"/>
  <c r="D4" i="8"/>
  <c r="D7" i="8" s="1"/>
  <c r="C15" i="4"/>
  <c r="K8" i="26"/>
  <c r="C4" i="10"/>
  <c r="C7" i="10" s="1"/>
  <c r="C4" i="9"/>
  <c r="C7" i="9" s="1"/>
  <c r="C4" i="8"/>
  <c r="C7" i="8" s="1"/>
  <c r="C14" i="4"/>
  <c r="A11" i="29"/>
  <c r="F30" i="6"/>
  <c r="G30" i="6" s="1"/>
  <c r="F35" i="6"/>
  <c r="G35" i="6" s="1"/>
  <c r="F50" i="6"/>
  <c r="G50" i="6" s="1"/>
  <c r="G52" i="6" s="1"/>
  <c r="E26" i="33"/>
  <c r="E45" i="35"/>
  <c r="E44" i="35"/>
  <c r="D38" i="35"/>
  <c r="K15" i="29"/>
  <c r="C13" i="37" s="1"/>
  <c r="E13" i="37" s="1"/>
  <c r="G28" i="37" s="1"/>
  <c r="E43" i="35"/>
  <c r="E12" i="35"/>
  <c r="D39" i="35"/>
  <c r="E15" i="33"/>
  <c r="F32" i="33" s="1"/>
  <c r="G32" i="33" s="1"/>
  <c r="G39" i="35"/>
  <c r="C33" i="35"/>
  <c r="F18" i="37"/>
  <c r="G18" i="37" s="1"/>
  <c r="K14" i="29"/>
  <c r="G24" i="6"/>
  <c r="G25" i="6" s="1"/>
  <c r="G44" i="6"/>
  <c r="F24" i="37"/>
  <c r="F34" i="37"/>
  <c r="G34" i="37" s="1"/>
  <c r="F21" i="37"/>
  <c r="G21" i="37" s="1"/>
  <c r="F31" i="37"/>
  <c r="G31" i="37" s="1"/>
  <c r="F17" i="37"/>
  <c r="D18" i="38"/>
  <c r="F32" i="37"/>
  <c r="G32" i="37" s="1"/>
  <c r="C34" i="40"/>
  <c r="F20" i="37"/>
  <c r="G20" i="37" s="1"/>
  <c r="F23" i="37"/>
  <c r="G23" i="37" s="1"/>
  <c r="F35" i="37"/>
  <c r="G35" i="37" s="1"/>
  <c r="F22" i="37"/>
  <c r="G22" i="37" s="1"/>
  <c r="F30" i="37"/>
  <c r="G30" i="37" s="1"/>
  <c r="E26" i="39"/>
  <c r="E45" i="40"/>
  <c r="G39" i="40"/>
  <c r="E12" i="40"/>
  <c r="G40" i="40"/>
  <c r="E46" i="40"/>
  <c r="E44" i="40"/>
  <c r="D40" i="40"/>
  <c r="D39" i="40"/>
  <c r="E15" i="39"/>
  <c r="G36" i="6" l="1"/>
  <c r="H10" i="29"/>
  <c r="G10" i="29"/>
  <c r="F10" i="29"/>
  <c r="I10" i="29"/>
  <c r="E10" i="29"/>
  <c r="K16" i="29"/>
  <c r="K17" i="29"/>
  <c r="C13" i="6" s="1"/>
  <c r="D13" i="6" s="1"/>
  <c r="F17" i="33"/>
  <c r="G17" i="33" s="1"/>
  <c r="F28" i="33"/>
  <c r="G28" i="33" s="1"/>
  <c r="C13" i="33"/>
  <c r="E13" i="33" s="1"/>
  <c r="G26" i="33" s="1"/>
  <c r="G19" i="35" s="1"/>
  <c r="C13" i="39"/>
  <c r="E13" i="39" s="1"/>
  <c r="G26" i="39" s="1"/>
  <c r="D28" i="40" s="1"/>
  <c r="F21" i="33"/>
  <c r="G21" i="33" s="1"/>
  <c r="F18" i="33"/>
  <c r="G18" i="33" s="1"/>
  <c r="F30" i="33"/>
  <c r="G30" i="33" s="1"/>
  <c r="F22" i="33"/>
  <c r="G22" i="33" s="1"/>
  <c r="F20" i="33"/>
  <c r="G20" i="33" s="1"/>
  <c r="F33" i="33"/>
  <c r="G33" i="33" s="1"/>
  <c r="D17" i="38"/>
  <c r="F29" i="33"/>
  <c r="G29" i="33" s="1"/>
  <c r="F19" i="33"/>
  <c r="G19" i="33" s="1"/>
  <c r="D16" i="38"/>
  <c r="G17" i="37"/>
  <c r="G19" i="38"/>
  <c r="G24" i="37"/>
  <c r="G36" i="37"/>
  <c r="G37" i="37" s="1"/>
  <c r="F31" i="39"/>
  <c r="G31" i="39" s="1"/>
  <c r="F20" i="39"/>
  <c r="G20" i="39" s="1"/>
  <c r="F17" i="39"/>
  <c r="G17" i="39" s="1"/>
  <c r="F18" i="39"/>
  <c r="G18" i="39" s="1"/>
  <c r="F21" i="39"/>
  <c r="G21" i="39" s="1"/>
  <c r="F29" i="39"/>
  <c r="G29" i="39" s="1"/>
  <c r="F34" i="39"/>
  <c r="G34" i="39" s="1"/>
  <c r="F33" i="39"/>
  <c r="G33" i="39" s="1"/>
  <c r="F22" i="39"/>
  <c r="G22" i="39" s="1"/>
  <c r="F30" i="39"/>
  <c r="G30" i="39" s="1"/>
  <c r="F19" i="39"/>
  <c r="G19" i="39" s="1"/>
  <c r="F28" i="39"/>
  <c r="G28" i="39" s="1"/>
  <c r="G16" i="38"/>
  <c r="D19" i="38"/>
  <c r="G17" i="38"/>
  <c r="D21" i="38"/>
  <c r="D20" i="38"/>
  <c r="D27" i="38"/>
  <c r="D28" i="38"/>
  <c r="G21" i="38"/>
  <c r="G31" i="38"/>
  <c r="G20" i="38"/>
  <c r="D17" i="35"/>
  <c r="G31" i="40" l="1"/>
  <c r="G27" i="6"/>
  <c r="G37" i="6" s="1"/>
  <c r="E13" i="6"/>
  <c r="G39" i="6" s="1"/>
  <c r="G45" i="6" s="1"/>
  <c r="G47" i="6"/>
  <c r="G53" i="6" s="1"/>
  <c r="G21" i="40"/>
  <c r="G18" i="35"/>
  <c r="D16" i="35"/>
  <c r="G34" i="33"/>
  <c r="G35" i="33" s="1"/>
  <c r="G30" i="35"/>
  <c r="D20" i="35"/>
  <c r="D19" i="35"/>
  <c r="D27" i="35"/>
  <c r="G20" i="35"/>
  <c r="D26" i="35"/>
  <c r="G16" i="35"/>
  <c r="G22" i="35" s="1"/>
  <c r="D18" i="35"/>
  <c r="D20" i="40"/>
  <c r="G20" i="40"/>
  <c r="D27" i="40"/>
  <c r="D31" i="40" s="1"/>
  <c r="G17" i="40"/>
  <c r="G25" i="37"/>
  <c r="G26" i="37" s="1"/>
  <c r="G40" i="37" s="1"/>
  <c r="G35" i="39"/>
  <c r="G36" i="39" s="1"/>
  <c r="D17" i="40"/>
  <c r="D21" i="40"/>
  <c r="G16" i="40"/>
  <c r="D18" i="40"/>
  <c r="D16" i="40"/>
  <c r="D19" i="40"/>
  <c r="G23" i="38"/>
  <c r="G19" i="40"/>
  <c r="D24" i="38"/>
  <c r="D23" i="38"/>
  <c r="D31" i="38"/>
  <c r="G23" i="33"/>
  <c r="G24" i="33" s="1"/>
  <c r="D23" i="35" l="1"/>
  <c r="G55" i="6"/>
  <c r="G56" i="6" s="1"/>
  <c r="F5" i="6" s="1"/>
  <c r="D7" i="34" s="1"/>
  <c r="F3" i="6"/>
  <c r="C7" i="34" s="1"/>
  <c r="D30" i="35"/>
  <c r="D22" i="35"/>
  <c r="G38" i="33"/>
  <c r="F3" i="33" s="1"/>
  <c r="C5" i="34" s="1"/>
  <c r="D24" i="40"/>
  <c r="G23" i="40"/>
  <c r="F3" i="37"/>
  <c r="C6" i="34" s="1"/>
  <c r="G41" i="37"/>
  <c r="F5" i="37" s="1"/>
  <c r="D6" i="34" s="1"/>
  <c r="G23" i="39"/>
  <c r="G24" i="39" s="1"/>
  <c r="G39" i="39" s="1"/>
  <c r="D23" i="40"/>
  <c r="F6" i="34" l="1"/>
  <c r="G6" i="34"/>
  <c r="E6" i="34"/>
  <c r="G7" i="34"/>
  <c r="F7" i="34"/>
  <c r="E7" i="34"/>
  <c r="F5" i="34"/>
  <c r="E5" i="34"/>
  <c r="G5" i="34"/>
  <c r="G39" i="33"/>
  <c r="F5" i="33" s="1"/>
  <c r="D5" i="34" s="1"/>
  <c r="F3" i="39"/>
  <c r="C4" i="34" s="1"/>
  <c r="G40" i="39"/>
  <c r="F5" i="39" s="1"/>
  <c r="D4" i="34" s="1"/>
  <c r="H6" i="34" l="1"/>
  <c r="H7" i="34"/>
  <c r="I7" i="34" s="1"/>
  <c r="H5" i="34"/>
  <c r="I5" i="34" s="1"/>
  <c r="G5" i="35" s="1"/>
  <c r="F4" i="34"/>
  <c r="G4" i="34"/>
  <c r="E4" i="34"/>
  <c r="I6" i="34"/>
  <c r="G5" i="38" s="1"/>
  <c r="H4" i="34" l="1"/>
  <c r="I4" i="34" s="1"/>
  <c r="G5" i="40" s="1"/>
</calcChain>
</file>

<file path=xl/sharedStrings.xml><?xml version="1.0" encoding="utf-8"?>
<sst xmlns="http://schemas.openxmlformats.org/spreadsheetml/2006/main" count="3024" uniqueCount="1285">
  <si>
    <t>宜蘭縣</t>
    <phoneticPr fontId="1" type="noConversion"/>
  </si>
  <si>
    <r>
      <rPr>
        <sz val="14"/>
        <color rgb="FF000000"/>
        <rFont val="標楷體"/>
        <family val="4"/>
        <charset val="136"/>
      </rPr>
      <t>宜蘭縣位於台灣東北部，以颱風侵襲入徑而言，以第</t>
    </r>
    <r>
      <rPr>
        <sz val="14"/>
        <color rgb="FF000000"/>
        <rFont val="Times New Roman"/>
        <family val="1"/>
      </rPr>
      <t>2</t>
    </r>
    <r>
      <rPr>
        <sz val="14"/>
        <color rgb="FF000000"/>
        <rFont val="標楷體"/>
        <family val="4"/>
        <charset val="136"/>
      </rPr>
      <t>、</t>
    </r>
    <r>
      <rPr>
        <sz val="14"/>
        <color rgb="FF000000"/>
        <rFont val="Times New Roman"/>
        <family val="1"/>
      </rPr>
      <t>3</t>
    </r>
    <r>
      <rPr>
        <sz val="14"/>
        <color rgb="FF000000"/>
        <rFont val="標楷體"/>
        <family val="4"/>
        <charset val="136"/>
      </rPr>
      <t>及</t>
    </r>
    <r>
      <rPr>
        <sz val="14"/>
        <color rgb="FF000000"/>
        <rFont val="Times New Roman"/>
        <family val="1"/>
      </rPr>
      <t>6</t>
    </r>
    <r>
      <rPr>
        <sz val="14"/>
        <color rgb="FF000000"/>
        <rFont val="標楷體"/>
        <family val="4"/>
        <charset val="136"/>
      </rPr>
      <t>路徑對宜蘭區域影響較大，第</t>
    </r>
    <r>
      <rPr>
        <sz val="14"/>
        <color rgb="FF000000"/>
        <rFont val="Times New Roman"/>
        <family val="1"/>
      </rPr>
      <t>1</t>
    </r>
    <r>
      <rPr>
        <sz val="14"/>
        <color rgb="FF000000"/>
        <rFont val="標楷體"/>
        <family val="4"/>
        <charset val="136"/>
      </rPr>
      <t>、</t>
    </r>
    <r>
      <rPr>
        <sz val="14"/>
        <color rgb="FF000000"/>
        <rFont val="Times New Roman"/>
        <family val="1"/>
      </rPr>
      <t>4</t>
    </r>
    <r>
      <rPr>
        <sz val="14"/>
        <color rgb="FF000000"/>
        <rFont val="標楷體"/>
        <family val="4"/>
        <charset val="136"/>
      </rPr>
      <t>及</t>
    </r>
    <r>
      <rPr>
        <sz val="14"/>
        <color rgb="FF000000"/>
        <rFont val="Times New Roman"/>
        <family val="1"/>
      </rPr>
      <t>8</t>
    </r>
    <r>
      <rPr>
        <sz val="14"/>
        <color rgb="FF000000"/>
        <rFont val="標楷體"/>
        <family val="4"/>
        <charset val="136"/>
      </rPr>
      <t>路徑次之。</t>
    </r>
    <phoneticPr fontId="1" type="noConversion"/>
  </si>
  <si>
    <t>路徑編號</t>
  </si>
  <si>
    <t>颱風數量</t>
  </si>
  <si>
    <t>強烈</t>
  </si>
  <si>
    <t>中度</t>
  </si>
  <si>
    <t>輕度</t>
  </si>
  <si>
    <r>
      <t>依據中央氣象局颱風資料庫之資料，自</t>
    </r>
    <r>
      <rPr>
        <sz val="14"/>
        <color rgb="FF000000"/>
        <rFont val="Times New Roman"/>
        <family val="1"/>
      </rPr>
      <t>1958</t>
    </r>
    <r>
      <rPr>
        <sz val="14"/>
        <color rgb="FF000000"/>
        <rFont val="標楷體"/>
        <family val="4"/>
        <charset val="136"/>
      </rPr>
      <t>至</t>
    </r>
    <r>
      <rPr>
        <sz val="14"/>
        <color rgb="FF000000"/>
        <rFont val="Times New Roman"/>
        <family val="1"/>
      </rPr>
      <t>2016</t>
    </r>
    <r>
      <rPr>
        <sz val="14"/>
        <color rgb="FF000000"/>
        <rFont val="標楷體"/>
        <family val="4"/>
        <charset val="136"/>
      </rPr>
      <t>年的歷史侵台颱風，編號第</t>
    </r>
    <r>
      <rPr>
        <sz val="14"/>
        <color rgb="FF000000"/>
        <rFont val="Times New Roman"/>
        <family val="1"/>
      </rPr>
      <t>2</t>
    </r>
    <r>
      <rPr>
        <sz val="14"/>
        <color rgb="FF000000"/>
        <rFont val="標楷體"/>
        <family val="4"/>
        <charset val="136"/>
      </rPr>
      <t>、</t>
    </r>
    <r>
      <rPr>
        <sz val="14"/>
        <color rgb="FF000000"/>
        <rFont val="Times New Roman"/>
        <family val="1"/>
      </rPr>
      <t>3</t>
    </r>
    <r>
      <rPr>
        <sz val="14"/>
        <color rgb="FF000000"/>
        <rFont val="標楷體"/>
        <family val="4"/>
        <charset val="136"/>
      </rPr>
      <t>、</t>
    </r>
    <r>
      <rPr>
        <sz val="14"/>
        <color rgb="FF000000"/>
        <rFont val="Times New Roman"/>
        <family val="1"/>
      </rPr>
      <t>6</t>
    </r>
    <r>
      <rPr>
        <sz val="14"/>
        <color rgb="FF000000"/>
        <rFont val="標楷體"/>
        <family val="4"/>
        <charset val="136"/>
      </rPr>
      <t>、</t>
    </r>
    <r>
      <rPr>
        <sz val="14"/>
        <color rgb="FF000000"/>
        <rFont val="Times New Roman"/>
        <family val="1"/>
      </rPr>
      <t>1</t>
    </r>
    <r>
      <rPr>
        <sz val="14"/>
        <color rgb="FF000000"/>
        <rFont val="標楷體"/>
        <family val="4"/>
        <charset val="136"/>
      </rPr>
      <t>、</t>
    </r>
    <r>
      <rPr>
        <sz val="14"/>
        <color rgb="FF000000"/>
        <rFont val="Times New Roman"/>
        <family val="1"/>
      </rPr>
      <t>4</t>
    </r>
    <r>
      <rPr>
        <sz val="14"/>
        <color rgb="FF000000"/>
        <rFont val="標楷體"/>
        <family val="4"/>
        <charset val="136"/>
      </rPr>
      <t>、</t>
    </r>
    <r>
      <rPr>
        <sz val="14"/>
        <color rgb="FF000000"/>
        <rFont val="Times New Roman"/>
        <family val="1"/>
      </rPr>
      <t>8</t>
    </r>
    <r>
      <rPr>
        <sz val="14"/>
        <color rgb="FF000000"/>
        <rFont val="標楷體"/>
        <family val="4"/>
        <charset val="136"/>
      </rPr>
      <t>路徑次數列表入下</t>
    </r>
    <phoneticPr fontId="1" type="noConversion"/>
  </si>
  <si>
    <t>年分</t>
  </si>
  <si>
    <t>颱風名稱</t>
  </si>
  <si>
    <t>颱風等級</t>
  </si>
  <si>
    <t>杜鵑</t>
  </si>
  <si>
    <t>DUJUAN</t>
  </si>
  <si>
    <t>葛拉絲</t>
  </si>
  <si>
    <t>GLADYS</t>
  </si>
  <si>
    <t>蘇力</t>
  </si>
  <si>
    <t>SOULIK</t>
  </si>
  <si>
    <t>愛麗</t>
  </si>
  <si>
    <t>ELLIE</t>
  </si>
  <si>
    <t>蘇拉</t>
  </si>
  <si>
    <t>SAOLA</t>
  </si>
  <si>
    <t>楊希</t>
  </si>
  <si>
    <t>YANCY</t>
  </si>
  <si>
    <t>薔蜜</t>
  </si>
  <si>
    <t>JANGMI</t>
  </si>
  <si>
    <t>芙瑞達</t>
  </si>
  <si>
    <t>FREDA</t>
  </si>
  <si>
    <t>辛樂克</t>
  </si>
  <si>
    <t>SINLAKU</t>
  </si>
  <si>
    <t>諾瑞斯</t>
  </si>
  <si>
    <t>NORRIS</t>
  </si>
  <si>
    <t>卡玫基</t>
  </si>
  <si>
    <t>KALMAEGI</t>
  </si>
  <si>
    <t>黛拉</t>
  </si>
  <si>
    <t>DELLA</t>
  </si>
  <si>
    <t>柯羅莎</t>
  </si>
  <si>
    <t>KROSA</t>
  </si>
  <si>
    <t>薇拉</t>
  </si>
  <si>
    <t>VERA</t>
  </si>
  <si>
    <t>碧利斯</t>
  </si>
  <si>
    <t>BILIS</t>
  </si>
  <si>
    <t>畢莉</t>
  </si>
  <si>
    <t>BILLIE</t>
  </si>
  <si>
    <t>賀伯</t>
  </si>
  <si>
    <t>HERB</t>
  </si>
  <si>
    <t>妮娜</t>
  </si>
  <si>
    <t>NINA</t>
  </si>
  <si>
    <t>颱風中文名稱</t>
    <phoneticPr fontId="1" type="noConversion"/>
  </si>
  <si>
    <t>颱風英文名稱</t>
    <phoneticPr fontId="1" type="noConversion"/>
  </si>
  <si>
    <r>
      <t>宜蘭縣</t>
    </r>
    <r>
      <rPr>
        <sz val="14"/>
        <color rgb="FF000000"/>
        <rFont val="Times New Roman"/>
        <family val="1"/>
      </rPr>
      <t>1975~2015</t>
    </r>
    <r>
      <rPr>
        <sz val="14"/>
        <color rgb="FF000000"/>
        <rFont val="標楷體"/>
        <family val="4"/>
        <charset val="136"/>
      </rPr>
      <t>年</t>
    </r>
    <r>
      <rPr>
        <sz val="14"/>
        <color rgb="FF000000"/>
        <rFont val="Times New Roman"/>
        <family val="1"/>
      </rPr>
      <t>_</t>
    </r>
    <r>
      <rPr>
        <sz val="14"/>
        <color rgb="FF000000"/>
        <rFont val="標楷體"/>
        <family val="4"/>
        <charset val="136"/>
      </rPr>
      <t>路徑</t>
    </r>
    <r>
      <rPr>
        <sz val="14"/>
        <color rgb="FF000000"/>
        <rFont val="Times New Roman"/>
        <family val="1"/>
      </rPr>
      <t>2_</t>
    </r>
    <r>
      <rPr>
        <sz val="14"/>
        <color rgb="FF000000"/>
        <rFont val="標楷體"/>
        <family val="4"/>
        <charset val="136"/>
      </rPr>
      <t>侵襲颱風列表</t>
    </r>
    <phoneticPr fontId="1" type="noConversion"/>
  </si>
  <si>
    <r>
      <rPr>
        <sz val="12"/>
        <color theme="1"/>
        <rFont val="標楷體"/>
        <family val="4"/>
        <charset val="136"/>
      </rPr>
      <t>最低氣壓</t>
    </r>
    <r>
      <rPr>
        <sz val="12"/>
        <color theme="1"/>
        <rFont val="Times New Roman"/>
        <family val="1"/>
      </rPr>
      <t>(hPa)</t>
    </r>
  </si>
  <si>
    <r>
      <rPr>
        <sz val="12"/>
        <color theme="1"/>
        <rFont val="標楷體"/>
        <family val="4"/>
        <charset val="136"/>
      </rPr>
      <t>最大風速</t>
    </r>
    <r>
      <rPr>
        <sz val="12"/>
        <color theme="1"/>
        <rFont val="Times New Roman"/>
        <family val="1"/>
      </rPr>
      <t>(m/s)</t>
    </r>
  </si>
  <si>
    <r>
      <t>7</t>
    </r>
    <r>
      <rPr>
        <sz val="12"/>
        <color theme="1"/>
        <rFont val="標楷體"/>
        <family val="4"/>
        <charset val="136"/>
      </rPr>
      <t>級風暴風半徑</t>
    </r>
    <r>
      <rPr>
        <sz val="12"/>
        <color theme="1"/>
        <rFont val="Times New Roman"/>
        <family val="1"/>
      </rPr>
      <t>(km)</t>
    </r>
  </si>
  <si>
    <r>
      <t>10</t>
    </r>
    <r>
      <rPr>
        <sz val="12"/>
        <color theme="1"/>
        <rFont val="標楷體"/>
        <family val="4"/>
        <charset val="136"/>
      </rPr>
      <t>級風暴風半徑</t>
    </r>
    <r>
      <rPr>
        <sz val="12"/>
        <color theme="1"/>
        <rFont val="Times New Roman"/>
        <family val="1"/>
      </rPr>
      <t>(km)</t>
    </r>
  </si>
  <si>
    <t>---</t>
  </si>
  <si>
    <r>
      <t>每</t>
    </r>
    <r>
      <rPr>
        <sz val="14"/>
        <rFont val="Times New Roman"/>
        <family val="1"/>
      </rPr>
      <t>1~2</t>
    </r>
    <r>
      <rPr>
        <sz val="14"/>
        <rFont val="標楷體"/>
        <family val="4"/>
        <charset val="136"/>
      </rPr>
      <t>年會有一次路徑</t>
    </r>
    <r>
      <rPr>
        <sz val="14"/>
        <rFont val="Times New Roman"/>
        <family val="1"/>
      </rPr>
      <t>2</t>
    </r>
    <r>
      <rPr>
        <sz val="14"/>
        <rFont val="標楷體"/>
        <family val="4"/>
        <charset val="136"/>
      </rPr>
      <t>之中度以上颱風侵襲宜蘭，</t>
    </r>
    <r>
      <rPr>
        <sz val="14"/>
        <rFont val="Times New Roman"/>
        <family val="1"/>
      </rPr>
      <t>2008</t>
    </r>
    <r>
      <rPr>
        <sz val="14"/>
        <rFont val="標楷體"/>
        <family val="4"/>
        <charset val="136"/>
      </rPr>
      <t>年更高達</t>
    </r>
    <r>
      <rPr>
        <sz val="14"/>
        <rFont val="Times New Roman"/>
        <family val="1"/>
      </rPr>
      <t>3</t>
    </r>
    <r>
      <rPr>
        <sz val="14"/>
        <rFont val="標楷體"/>
        <family val="4"/>
        <charset val="136"/>
      </rPr>
      <t>次，</t>
    </r>
    <r>
      <rPr>
        <b/>
        <sz val="14"/>
        <color rgb="FFFF0000"/>
        <rFont val="標楷體"/>
        <family val="4"/>
        <charset val="136"/>
      </rPr>
      <t>宜蘭區域為颱風侵襲必經路徑之高危險區域</t>
    </r>
    <r>
      <rPr>
        <sz val="14"/>
        <rFont val="標楷體"/>
        <family val="4"/>
        <charset val="136"/>
      </rPr>
      <t>。</t>
    </r>
    <phoneticPr fontId="1" type="noConversion"/>
  </si>
  <si>
    <t>颱風由東北方進入宜蘭</t>
  </si>
  <si>
    <t>颱風進入基隆</t>
  </si>
  <si>
    <r>
      <rPr>
        <sz val="14"/>
        <color theme="1"/>
        <rFont val="Times New Roman"/>
        <family val="1"/>
      </rPr>
      <t>(1)</t>
    </r>
    <r>
      <rPr>
        <b/>
        <sz val="14"/>
        <color rgb="FF0000FF"/>
        <rFont val="標楷體"/>
        <family val="4"/>
        <charset val="136"/>
      </rPr>
      <t>由東南方進入宜蘭縣境</t>
    </r>
    <r>
      <rPr>
        <sz val="14"/>
        <color rgb="FF000000"/>
        <rFont val="標楷體"/>
        <family val="4"/>
        <charset val="136"/>
      </rPr>
      <t>，如</t>
    </r>
    <r>
      <rPr>
        <sz val="14"/>
        <color rgb="FF000000"/>
        <rFont val="Times New Roman"/>
        <family val="1"/>
      </rPr>
      <t>2015</t>
    </r>
    <r>
      <rPr>
        <sz val="14"/>
        <color rgb="FF000000"/>
        <rFont val="標楷體"/>
        <family val="4"/>
        <charset val="136"/>
      </rPr>
      <t>年杜鵑颱風及</t>
    </r>
    <r>
      <rPr>
        <sz val="14"/>
        <color rgb="FF000000"/>
        <rFont val="Times New Roman"/>
        <family val="1"/>
      </rPr>
      <t>2008</t>
    </r>
    <r>
      <rPr>
        <sz val="14"/>
        <color rgb="FF000000"/>
        <rFont val="標楷體"/>
        <family val="4"/>
        <charset val="136"/>
      </rPr>
      <t>年薔蜜颱風，颱風外圍直接由宜蘭接觸陸地，颱風結構尚未受到地形破壞減弱，</t>
    </r>
    <r>
      <rPr>
        <b/>
        <sz val="14"/>
        <color rgb="FFFF0000"/>
        <rFont val="標楷體"/>
        <family val="4"/>
        <charset val="136"/>
      </rPr>
      <t>此時陣風強度較強，溫室會遭受較大風壓。</t>
    </r>
    <phoneticPr fontId="1" type="noConversion"/>
  </si>
  <si>
    <t>颱風由東南方進入宜蘭</t>
    <phoneticPr fontId="1" type="noConversion"/>
  </si>
  <si>
    <t>宜蘭縣附近之氣象觀測紀錄位置為宜蘭氣象站</t>
    <phoneticPr fontId="1" type="noConversion"/>
  </si>
  <si>
    <r>
      <t>地址是宜蘭縣宜蘭市力行路</t>
    </r>
    <r>
      <rPr>
        <sz val="14"/>
        <rFont val="Times New Roman"/>
        <family val="1"/>
      </rPr>
      <t>150</t>
    </r>
    <r>
      <rPr>
        <sz val="14"/>
        <rFont val="標楷體"/>
        <family val="4"/>
        <charset val="136"/>
      </rPr>
      <t>號</t>
    </r>
    <phoneticPr fontId="1" type="noConversion"/>
  </si>
  <si>
    <r>
      <rPr>
        <b/>
        <sz val="14"/>
        <color rgb="FF0000FF"/>
        <rFont val="Times New Roman"/>
        <family val="1"/>
      </rPr>
      <t>2015</t>
    </r>
    <r>
      <rPr>
        <b/>
        <sz val="14"/>
        <color rgb="FF0000FF"/>
        <rFont val="標楷體"/>
        <family val="4"/>
        <charset val="136"/>
      </rPr>
      <t>年杜鵑颱風之陣風值最大為</t>
    </r>
    <r>
      <rPr>
        <b/>
        <sz val="14"/>
        <color rgb="FF0000FF"/>
        <rFont val="Times New Roman"/>
        <family val="1"/>
      </rPr>
      <t>50.6m/s</t>
    </r>
    <r>
      <rPr>
        <b/>
        <sz val="14"/>
        <color rgb="FF0000FF"/>
        <rFont val="標楷體"/>
        <family val="4"/>
        <charset val="136"/>
      </rPr>
      <t>，蒲福風級</t>
    </r>
    <r>
      <rPr>
        <b/>
        <sz val="14"/>
        <color rgb="FF0000FF"/>
        <rFont val="Times New Roman"/>
        <family val="1"/>
      </rPr>
      <t>15</t>
    </r>
    <r>
      <rPr>
        <b/>
        <sz val="14"/>
        <color rgb="FF0000FF"/>
        <rFont val="標楷體"/>
        <family val="4"/>
        <charset val="136"/>
      </rPr>
      <t>級風</t>
    </r>
    <phoneticPr fontId="1" type="noConversion"/>
  </si>
  <si>
    <r>
      <rPr>
        <b/>
        <sz val="14"/>
        <color rgb="FF0000FF"/>
        <rFont val="Times New Roman"/>
        <family val="1"/>
      </rPr>
      <t>2008</t>
    </r>
    <r>
      <rPr>
        <b/>
        <sz val="14"/>
        <color rgb="FF0000FF"/>
        <rFont val="標楷體"/>
        <family val="4"/>
        <charset val="136"/>
      </rPr>
      <t>年辛樂克颱風之</t>
    </r>
    <r>
      <rPr>
        <b/>
        <sz val="14"/>
        <color rgb="FF0000FF"/>
        <rFont val="Times New Roman"/>
        <family val="1"/>
      </rPr>
      <t>24</t>
    </r>
    <r>
      <rPr>
        <b/>
        <sz val="14"/>
        <color rgb="FF0000FF"/>
        <rFont val="標楷體"/>
        <family val="4"/>
        <charset val="136"/>
      </rPr>
      <t>小時雨量值最大，量測值為</t>
    </r>
    <r>
      <rPr>
        <b/>
        <sz val="14"/>
        <color rgb="FF0000FF"/>
        <rFont val="Times New Roman"/>
        <family val="1"/>
      </rPr>
      <t>400.5mm</t>
    </r>
    <phoneticPr fontId="1" type="noConversion"/>
  </si>
  <si>
    <r>
      <t>颱風最大風速</t>
    </r>
    <r>
      <rPr>
        <sz val="12"/>
        <color rgb="FF000000"/>
        <rFont val="Times New Roman"/>
        <family val="1"/>
      </rPr>
      <t>(m/s)</t>
    </r>
  </si>
  <si>
    <r>
      <t>測站最大陣風</t>
    </r>
    <r>
      <rPr>
        <sz val="12"/>
        <color rgb="FF000000"/>
        <rFont val="Times New Roman"/>
        <family val="1"/>
      </rPr>
      <t>(m/s)</t>
    </r>
  </si>
  <si>
    <r>
      <t>測站最大風速</t>
    </r>
    <r>
      <rPr>
        <sz val="12"/>
        <color rgb="FF000000"/>
        <rFont val="Times New Roman"/>
        <family val="1"/>
      </rPr>
      <t>(m/s)</t>
    </r>
  </si>
  <si>
    <r>
      <t>最大總雨量</t>
    </r>
    <r>
      <rPr>
        <sz val="12"/>
        <color rgb="FF000000"/>
        <rFont val="Times New Roman"/>
        <family val="1"/>
      </rPr>
      <t>(mm)</t>
    </r>
  </si>
  <si>
    <r>
      <t>農損</t>
    </r>
    <r>
      <rPr>
        <sz val="12"/>
        <color rgb="FF000000"/>
        <rFont val="Times New Roman"/>
        <family val="1"/>
      </rPr>
      <t>(</t>
    </r>
    <r>
      <rPr>
        <sz val="12"/>
        <color rgb="FF000000"/>
        <rFont val="標楷體"/>
        <family val="4"/>
        <charset val="136"/>
      </rPr>
      <t>億</t>
    </r>
    <r>
      <rPr>
        <sz val="12"/>
        <color rgb="FF000000"/>
        <rFont val="Times New Roman"/>
        <family val="1"/>
      </rPr>
      <t>)</t>
    </r>
  </si>
  <si>
    <r>
      <t>24</t>
    </r>
    <r>
      <rPr>
        <sz val="12"/>
        <color rgb="FF000000"/>
        <rFont val="標楷體"/>
        <family val="4"/>
        <charset val="136"/>
      </rPr>
      <t>小時最大雨量</t>
    </r>
    <r>
      <rPr>
        <sz val="12"/>
        <color rgb="FF000000"/>
        <rFont val="Times New Roman"/>
        <family val="1"/>
      </rPr>
      <t>(mm)</t>
    </r>
    <phoneticPr fontId="1" type="noConversion"/>
  </si>
  <si>
    <t>最大雨量</t>
    <phoneticPr fontId="1" type="noConversion"/>
  </si>
  <si>
    <t>mm</t>
    <phoneticPr fontId="1" type="noConversion"/>
  </si>
  <si>
    <t>颱風主要風向</t>
    <phoneticPr fontId="1" type="noConversion"/>
  </si>
  <si>
    <t>東北</t>
    <phoneticPr fontId="1" type="noConversion"/>
  </si>
  <si>
    <t>東</t>
    <phoneticPr fontId="1" type="noConversion"/>
  </si>
  <si>
    <t>東南</t>
    <phoneticPr fontId="1" type="noConversion"/>
  </si>
  <si>
    <r>
      <rPr>
        <sz val="14"/>
        <color rgb="FF000000"/>
        <rFont val="標楷體"/>
        <family val="4"/>
        <charset val="136"/>
      </rPr>
      <t>宜蘭縣右方為太平洋，北側、西側及南側為山脈，中央有蘭陽溪，</t>
    </r>
    <r>
      <rPr>
        <b/>
        <sz val="14"/>
        <color rgb="FF0000FF"/>
        <rFont val="標楷體"/>
        <family val="4"/>
        <charset val="136"/>
      </rPr>
      <t>平時承受風向以東風、東北風及東南方之風向為主，颱風侵襲時可能會出現北風。</t>
    </r>
    <phoneticPr fontId="1" type="noConversion"/>
  </si>
  <si>
    <t>颱風次要風向</t>
    <phoneticPr fontId="1" type="noConversion"/>
  </si>
  <si>
    <t>北</t>
    <phoneticPr fontId="1" type="noConversion"/>
  </si>
  <si>
    <t>溫室內農作物</t>
    <phoneticPr fontId="1" type="noConversion"/>
  </si>
  <si>
    <t>溫室地基</t>
    <phoneticPr fontId="1" type="noConversion"/>
  </si>
  <si>
    <t>溫室建地</t>
    <phoneticPr fontId="1" type="noConversion"/>
  </si>
  <si>
    <t>方位</t>
    <phoneticPr fontId="1" type="noConversion"/>
  </si>
  <si>
    <t>方向</t>
    <phoneticPr fontId="1" type="noConversion"/>
  </si>
  <si>
    <t>溫室形式</t>
    <phoneticPr fontId="1" type="noConversion"/>
  </si>
  <si>
    <t>較小風向</t>
    <phoneticPr fontId="1" type="noConversion"/>
  </si>
  <si>
    <t>西</t>
    <phoneticPr fontId="1" type="noConversion"/>
  </si>
  <si>
    <t>南</t>
    <phoneticPr fontId="1" type="noConversion"/>
  </si>
  <si>
    <t>連棟數</t>
    <phoneticPr fontId="1" type="noConversion"/>
  </si>
  <si>
    <t>編號</t>
    <phoneticPr fontId="1" type="noConversion"/>
  </si>
  <si>
    <t>構件名稱</t>
    <phoneticPr fontId="1" type="noConversion"/>
  </si>
  <si>
    <t>主立柱</t>
  </si>
  <si>
    <t>副立柱</t>
  </si>
  <si>
    <t>圓頂彎管</t>
  </si>
  <si>
    <t>圓頂桁管</t>
  </si>
  <si>
    <t>力霸梁直樑</t>
  </si>
  <si>
    <t>力霸梁支架</t>
  </si>
  <si>
    <t>側樑</t>
  </si>
  <si>
    <t>拉桿</t>
  </si>
  <si>
    <t>構件形式</t>
    <phoneticPr fontId="1" type="noConversion"/>
  </si>
  <si>
    <t>鍍鋅桿</t>
    <phoneticPr fontId="1" type="noConversion"/>
  </si>
  <si>
    <t>(1")</t>
    <phoneticPr fontId="1" type="noConversion"/>
  </si>
  <si>
    <t>(3/4")</t>
    <phoneticPr fontId="1" type="noConversion"/>
  </si>
  <si>
    <t>水槽</t>
    <phoneticPr fontId="1" type="noConversion"/>
  </si>
  <si>
    <t>鍍鋅水槽</t>
    <phoneticPr fontId="1" type="noConversion"/>
  </si>
  <si>
    <t>圓頂支架</t>
    <phoneticPr fontId="1" type="noConversion"/>
  </si>
  <si>
    <t>連棟數量</t>
    <phoneticPr fontId="1" type="noConversion"/>
  </si>
  <si>
    <t>山牆面構件總重量</t>
    <phoneticPr fontId="1" type="noConversion"/>
  </si>
  <si>
    <t>桁架排數</t>
    <phoneticPr fontId="1" type="noConversion"/>
  </si>
  <si>
    <t>山牆數</t>
    <phoneticPr fontId="1" type="noConversion"/>
  </si>
  <si>
    <t>桁架構件總重量</t>
    <phoneticPr fontId="1" type="noConversion"/>
  </si>
  <si>
    <t>合計</t>
    <phoneticPr fontId="1" type="noConversion"/>
  </si>
  <si>
    <t>桁架構件總重量</t>
    <phoneticPr fontId="1" type="noConversion"/>
  </si>
  <si>
    <t>單棟數量</t>
    <phoneticPr fontId="1" type="noConversion"/>
  </si>
  <si>
    <t>圓頂桁架排數</t>
    <phoneticPr fontId="1" type="noConversion"/>
  </si>
  <si>
    <t>直樑</t>
    <phoneticPr fontId="1" type="noConversion"/>
  </si>
  <si>
    <t>圓頂桁架構件總重量</t>
    <phoneticPr fontId="1" type="noConversion"/>
  </si>
  <si>
    <t>圓頂桁架連接管</t>
    <phoneticPr fontId="1" type="noConversion"/>
  </si>
  <si>
    <t>水槽</t>
    <phoneticPr fontId="1" type="noConversion"/>
  </si>
  <si>
    <t>溫室重量合計</t>
    <phoneticPr fontId="1" type="noConversion"/>
  </si>
  <si>
    <t>kg</t>
    <phoneticPr fontId="1" type="noConversion"/>
  </si>
  <si>
    <t>溫室材料成本合計</t>
    <phoneticPr fontId="1" type="noConversion"/>
  </si>
  <si>
    <t>鍍鋅鋼價格</t>
    <phoneticPr fontId="1" type="noConversion"/>
  </si>
  <si>
    <t>鍍鋅鋼價格(元/kg)</t>
    <phoneticPr fontId="1" type="noConversion"/>
  </si>
  <si>
    <t>溫室重量</t>
    <phoneticPr fontId="1" type="noConversion"/>
  </si>
  <si>
    <t>元</t>
    <phoneticPr fontId="1" type="noConversion"/>
  </si>
  <si>
    <t>構件材料成本</t>
    <phoneticPr fontId="1" type="noConversion"/>
  </si>
  <si>
    <t>溫室座向</t>
    <phoneticPr fontId="1" type="noConversion"/>
  </si>
  <si>
    <t>溫室座向</t>
    <phoneticPr fontId="1" type="noConversion"/>
  </si>
  <si>
    <t>內部結構強化方式</t>
    <phoneticPr fontId="1" type="noConversion"/>
  </si>
  <si>
    <t>山牆面斜撐樑</t>
    <phoneticPr fontId="1" type="noConversion"/>
  </si>
  <si>
    <t>溫室側牆強化方式</t>
    <phoneticPr fontId="1" type="noConversion"/>
  </si>
  <si>
    <t>力霸樑斜撐桿</t>
  </si>
  <si>
    <t>力霸樑斜撐桿</t>
    <phoneticPr fontId="1" type="noConversion"/>
  </si>
  <si>
    <t>溫室平面圖</t>
    <phoneticPr fontId="1" type="noConversion"/>
  </si>
  <si>
    <t>增加排水管</t>
    <phoneticPr fontId="1" type="noConversion"/>
  </si>
  <si>
    <t>增加水槽補強件</t>
    <phoneticPr fontId="1" type="noConversion"/>
  </si>
  <si>
    <t>外部結構強化方式</t>
    <phoneticPr fontId="1" type="noConversion"/>
  </si>
  <si>
    <t>山牆面增加拉繩</t>
    <phoneticPr fontId="1" type="noConversion"/>
  </si>
  <si>
    <t>力霸樑增加拉繩</t>
    <phoneticPr fontId="1" type="noConversion"/>
  </si>
  <si>
    <t>山牆面增加拉網</t>
    <phoneticPr fontId="1" type="noConversion"/>
  </si>
  <si>
    <t>力霸樑增加拉網</t>
    <phoneticPr fontId="1" type="noConversion"/>
  </si>
  <si>
    <t>破風強化方式</t>
    <phoneticPr fontId="1" type="noConversion"/>
  </si>
  <si>
    <t>側牆破風強化方式</t>
    <phoneticPr fontId="1" type="noConversion"/>
  </si>
  <si>
    <t>溫室側牆增加破風牆</t>
    <phoneticPr fontId="1" type="noConversion"/>
  </si>
  <si>
    <t>山牆面增加破風牆</t>
    <phoneticPr fontId="1" type="noConversion"/>
  </si>
  <si>
    <t>山牆面增加拉網或破風牆</t>
    <phoneticPr fontId="1" type="noConversion"/>
  </si>
  <si>
    <t>溫室側牆增加拉網或破風牆</t>
    <phoneticPr fontId="1" type="noConversion"/>
  </si>
  <si>
    <t>破風牆架設</t>
    <phoneticPr fontId="1" type="noConversion"/>
  </si>
  <si>
    <t>花蓮縣</t>
    <phoneticPr fontId="1" type="noConversion"/>
  </si>
  <si>
    <t>台東縣</t>
    <phoneticPr fontId="1" type="noConversion"/>
  </si>
  <si>
    <t>基隆市</t>
    <phoneticPr fontId="1" type="noConversion"/>
  </si>
  <si>
    <t>新北市</t>
    <phoneticPr fontId="1" type="noConversion"/>
  </si>
  <si>
    <t>台北市</t>
    <phoneticPr fontId="1" type="noConversion"/>
  </si>
  <si>
    <t>桃園縣</t>
    <phoneticPr fontId="1" type="noConversion"/>
  </si>
  <si>
    <t>新竹縣</t>
    <phoneticPr fontId="1" type="noConversion"/>
  </si>
  <si>
    <t>苗栗縣</t>
    <phoneticPr fontId="1" type="noConversion"/>
  </si>
  <si>
    <t>台中市</t>
    <phoneticPr fontId="1" type="noConversion"/>
  </si>
  <si>
    <t>彰化縣</t>
    <phoneticPr fontId="1" type="noConversion"/>
  </si>
  <si>
    <t>雲林縣</t>
    <phoneticPr fontId="1" type="noConversion"/>
  </si>
  <si>
    <t>嘉義縣</t>
    <phoneticPr fontId="1" type="noConversion"/>
  </si>
  <si>
    <t>台南市</t>
    <phoneticPr fontId="1" type="noConversion"/>
  </si>
  <si>
    <t>高雄市</t>
    <phoneticPr fontId="1" type="noConversion"/>
  </si>
  <si>
    <t>屏東縣</t>
    <phoneticPr fontId="1" type="noConversion"/>
  </si>
  <si>
    <t>澎湖縣</t>
    <phoneticPr fontId="1" type="noConversion"/>
  </si>
  <si>
    <t>金門縣</t>
    <phoneticPr fontId="1" type="noConversion"/>
  </si>
  <si>
    <t>馬祖</t>
    <phoneticPr fontId="1" type="noConversion"/>
  </si>
  <si>
    <r>
      <rPr>
        <sz val="14"/>
        <color rgb="FF000000"/>
        <rFont val="標楷體"/>
        <family val="4"/>
        <charset val="136"/>
      </rPr>
      <t>嘉義縣位於台灣西部，以颱風侵襲入徑而言，以第</t>
    </r>
    <r>
      <rPr>
        <sz val="14"/>
        <color rgb="FF000000"/>
        <rFont val="Times New Roman"/>
        <family val="1"/>
      </rPr>
      <t>3</t>
    </r>
    <r>
      <rPr>
        <sz val="14"/>
        <color rgb="FF000000"/>
        <rFont val="標楷體"/>
        <family val="4"/>
        <charset val="136"/>
      </rPr>
      <t>、</t>
    </r>
    <r>
      <rPr>
        <sz val="14"/>
        <color rgb="FF000000"/>
        <rFont val="Times New Roman"/>
        <family val="1"/>
      </rPr>
      <t>4</t>
    </r>
    <r>
      <rPr>
        <sz val="14"/>
        <color rgb="FF000000"/>
        <rFont val="標楷體"/>
        <family val="4"/>
        <charset val="136"/>
      </rPr>
      <t>及</t>
    </r>
    <r>
      <rPr>
        <sz val="14"/>
        <color rgb="FF000000"/>
        <rFont val="Times New Roman"/>
        <family val="1"/>
      </rPr>
      <t>9</t>
    </r>
    <r>
      <rPr>
        <sz val="14"/>
        <color rgb="FF000000"/>
        <rFont val="標楷體"/>
        <family val="4"/>
        <charset val="136"/>
      </rPr>
      <t>路徑對嘉義區域影響較大，第</t>
    </r>
    <r>
      <rPr>
        <sz val="14"/>
        <color rgb="FF000000"/>
        <rFont val="Times New Roman"/>
        <family val="1"/>
      </rPr>
      <t>7</t>
    </r>
    <r>
      <rPr>
        <sz val="14"/>
        <color rgb="FF000000"/>
        <rFont val="標楷體"/>
        <family val="4"/>
        <charset val="136"/>
      </rPr>
      <t>、</t>
    </r>
    <r>
      <rPr>
        <sz val="14"/>
        <color rgb="FF000000"/>
        <rFont val="Times New Roman"/>
        <family val="1"/>
      </rPr>
      <t>5</t>
    </r>
    <r>
      <rPr>
        <sz val="14"/>
        <color rgb="FF000000"/>
        <rFont val="標楷體"/>
        <family val="4"/>
        <charset val="136"/>
      </rPr>
      <t>及</t>
    </r>
    <r>
      <rPr>
        <sz val="14"/>
        <color rgb="FF000000"/>
        <rFont val="Times New Roman"/>
        <family val="1"/>
      </rPr>
      <t>2</t>
    </r>
    <r>
      <rPr>
        <sz val="14"/>
        <color rgb="FF000000"/>
        <rFont val="標楷體"/>
        <family val="4"/>
        <charset val="136"/>
      </rPr>
      <t>路徑次之。</t>
    </r>
    <phoneticPr fontId="1" type="noConversion"/>
  </si>
  <si>
    <r>
      <t>嘉義縣</t>
    </r>
    <r>
      <rPr>
        <sz val="14"/>
        <color rgb="FF000000"/>
        <rFont val="Times New Roman"/>
        <family val="1"/>
      </rPr>
      <t>1975~2015</t>
    </r>
    <r>
      <rPr>
        <sz val="14"/>
        <color rgb="FF000000"/>
        <rFont val="標楷體"/>
        <family val="4"/>
        <charset val="136"/>
      </rPr>
      <t>年</t>
    </r>
    <r>
      <rPr>
        <sz val="14"/>
        <color rgb="FF000000"/>
        <rFont val="Times New Roman"/>
        <family val="1"/>
      </rPr>
      <t>_</t>
    </r>
    <r>
      <rPr>
        <sz val="14"/>
        <color rgb="FF000000"/>
        <rFont val="標楷體"/>
        <family val="4"/>
        <charset val="136"/>
      </rPr>
      <t>路徑</t>
    </r>
    <r>
      <rPr>
        <sz val="14"/>
        <color rgb="FF000000"/>
        <rFont val="Times New Roman"/>
        <family val="1"/>
      </rPr>
      <t>3_</t>
    </r>
    <r>
      <rPr>
        <sz val="14"/>
        <color rgb="FF000000"/>
        <rFont val="標楷體"/>
        <family val="4"/>
        <charset val="136"/>
      </rPr>
      <t>侵襲颱風列表</t>
    </r>
    <phoneticPr fontId="1" type="noConversion"/>
  </si>
  <si>
    <t>颱風侵襲必經路徑之中危險區域</t>
    <phoneticPr fontId="1" type="noConversion"/>
  </si>
  <si>
    <t>MEGI</t>
  </si>
  <si>
    <r>
      <rPr>
        <sz val="12"/>
        <color rgb="FF000000"/>
        <rFont val="標楷體"/>
        <family val="4"/>
        <charset val="136"/>
      </rPr>
      <t>中度</t>
    </r>
  </si>
  <si>
    <t>SOUDELOR</t>
  </si>
  <si>
    <r>
      <rPr>
        <sz val="12"/>
        <color rgb="FF000000"/>
        <rFont val="標楷體"/>
        <family val="4"/>
        <charset val="136"/>
      </rPr>
      <t>麥德姆</t>
    </r>
  </si>
  <si>
    <t>MATMO</t>
  </si>
  <si>
    <t>MORAKOT</t>
  </si>
  <si>
    <r>
      <rPr>
        <sz val="12"/>
        <color rgb="FF000000"/>
        <rFont val="標楷體"/>
        <family val="4"/>
        <charset val="136"/>
      </rPr>
      <t>鳳凰</t>
    </r>
  </si>
  <si>
    <t>FUNG-WONG</t>
  </si>
  <si>
    <t>SEPAT</t>
  </si>
  <si>
    <r>
      <rPr>
        <sz val="12"/>
        <color rgb="FF000000"/>
        <rFont val="標楷體"/>
        <family val="4"/>
        <charset val="136"/>
      </rPr>
      <t>強烈</t>
    </r>
  </si>
  <si>
    <r>
      <rPr>
        <sz val="12"/>
        <color rgb="FF000000"/>
        <rFont val="標楷體"/>
        <family val="4"/>
        <charset val="136"/>
      </rPr>
      <t>梧提</t>
    </r>
  </si>
  <si>
    <t>WUTIP</t>
  </si>
  <si>
    <r>
      <rPr>
        <sz val="12"/>
        <color rgb="FF000000"/>
        <rFont val="標楷體"/>
        <family val="4"/>
        <charset val="136"/>
      </rPr>
      <t>輕度</t>
    </r>
  </si>
  <si>
    <r>
      <rPr>
        <sz val="12"/>
        <color rgb="FF000000"/>
        <rFont val="標楷體"/>
        <family val="4"/>
        <charset val="136"/>
      </rPr>
      <t>凱米</t>
    </r>
  </si>
  <si>
    <t>KAEMI</t>
  </si>
  <si>
    <r>
      <rPr>
        <sz val="12"/>
        <color rgb="FF000000"/>
        <rFont val="標楷體"/>
        <family val="4"/>
        <charset val="136"/>
      </rPr>
      <t>龍王</t>
    </r>
  </si>
  <si>
    <t>LONGWANG</t>
  </si>
  <si>
    <t>TALIM</t>
  </si>
  <si>
    <r>
      <rPr>
        <sz val="12"/>
        <color rgb="FF000000"/>
        <rFont val="標楷體"/>
        <family val="4"/>
        <charset val="136"/>
      </rPr>
      <t>海棠</t>
    </r>
  </si>
  <si>
    <t>HAITANG</t>
  </si>
  <si>
    <r>
      <rPr>
        <sz val="12"/>
        <color rgb="FF000000"/>
        <rFont val="標楷體"/>
        <family val="4"/>
        <charset val="136"/>
      </rPr>
      <t>桃芝</t>
    </r>
  </si>
  <si>
    <t>TORAJI</t>
  </si>
  <si>
    <r>
      <rPr>
        <sz val="12"/>
        <color rgb="FF000000"/>
        <rFont val="標楷體"/>
        <family val="4"/>
        <charset val="136"/>
      </rPr>
      <t>奧托</t>
    </r>
  </si>
  <si>
    <t>OTTO</t>
  </si>
  <si>
    <r>
      <rPr>
        <sz val="12"/>
        <color rgb="FF000000"/>
        <rFont val="標楷體"/>
        <family val="4"/>
        <charset val="136"/>
      </rPr>
      <t>安珀</t>
    </r>
  </si>
  <si>
    <t>AMBER</t>
  </si>
  <si>
    <r>
      <rPr>
        <sz val="12"/>
        <color rgb="FF000000"/>
        <rFont val="標楷體"/>
        <family val="4"/>
        <charset val="136"/>
      </rPr>
      <t>凱特琳</t>
    </r>
  </si>
  <si>
    <t>CAITLIN</t>
  </si>
  <si>
    <r>
      <rPr>
        <sz val="12"/>
        <color rgb="FF000000"/>
        <rFont val="標楷體"/>
        <family val="4"/>
        <charset val="136"/>
      </rPr>
      <t>提姆</t>
    </r>
  </si>
  <si>
    <t>TIM</t>
  </si>
  <si>
    <r>
      <rPr>
        <sz val="12"/>
        <color rgb="FF000000"/>
        <rFont val="標楷體"/>
        <family val="4"/>
        <charset val="136"/>
      </rPr>
      <t>寶莉</t>
    </r>
  </si>
  <si>
    <t>POLLY</t>
  </si>
  <si>
    <r>
      <rPr>
        <sz val="12"/>
        <color rgb="FF000000"/>
        <rFont val="標楷體"/>
        <family val="4"/>
        <charset val="136"/>
      </rPr>
      <t>歐馬</t>
    </r>
  </si>
  <si>
    <t>OMAR</t>
  </si>
  <si>
    <r>
      <rPr>
        <sz val="12"/>
        <color rgb="FF000000"/>
        <rFont val="標楷體"/>
        <family val="4"/>
        <charset val="136"/>
      </rPr>
      <t>黛特</t>
    </r>
  </si>
  <si>
    <t>DOT</t>
  </si>
  <si>
    <r>
      <rPr>
        <sz val="12"/>
        <color rgb="FF000000"/>
        <rFont val="標楷體"/>
        <family val="4"/>
        <charset val="136"/>
      </rPr>
      <t>莎拉</t>
    </r>
  </si>
  <si>
    <t>SARAH</t>
  </si>
  <si>
    <r>
      <rPr>
        <sz val="12"/>
        <color rgb="FF000000"/>
        <rFont val="標楷體"/>
        <family val="4"/>
        <charset val="136"/>
      </rPr>
      <t>艾貝</t>
    </r>
  </si>
  <si>
    <t>ABBY</t>
  </si>
  <si>
    <r>
      <rPr>
        <sz val="12"/>
        <color rgb="FF000000"/>
        <rFont val="標楷體"/>
        <family val="4"/>
        <charset val="136"/>
      </rPr>
      <t>羅絲</t>
    </r>
  </si>
  <si>
    <t>ROSE</t>
  </si>
  <si>
    <r>
      <rPr>
        <sz val="12"/>
        <color rgb="FF000000"/>
        <rFont val="標楷體"/>
        <family val="4"/>
        <charset val="136"/>
      </rPr>
      <t>艾妮絲</t>
    </r>
  </si>
  <si>
    <t>AGNES</t>
  </si>
  <si>
    <r>
      <rPr>
        <sz val="12"/>
        <color rgb="FF000000"/>
        <rFont val="標楷體"/>
        <family val="4"/>
        <charset val="136"/>
      </rPr>
      <t>吉達</t>
    </r>
  </si>
  <si>
    <t>GILDA</t>
  </si>
  <si>
    <r>
      <rPr>
        <sz val="12"/>
        <color rgb="FF000000"/>
        <rFont val="標楷體"/>
        <family val="4"/>
        <charset val="136"/>
      </rPr>
      <t>葛萊拉</t>
    </r>
  </si>
  <si>
    <t>CLARA</t>
  </si>
  <si>
    <r>
      <rPr>
        <sz val="12"/>
        <color rgb="FF000000"/>
        <rFont val="標楷體"/>
        <family val="4"/>
        <charset val="136"/>
      </rPr>
      <t>魯依絲</t>
    </r>
  </si>
  <si>
    <t>LOUISE</t>
  </si>
  <si>
    <r>
      <rPr>
        <sz val="12"/>
        <color rgb="FF000000"/>
        <rFont val="標楷體"/>
        <family val="4"/>
        <charset val="136"/>
      </rPr>
      <t>瓊安</t>
    </r>
  </si>
  <si>
    <t>JOAN</t>
  </si>
  <si>
    <r>
      <rPr>
        <sz val="12"/>
        <color rgb="FF000000"/>
        <rFont val="標楷體"/>
        <family val="4"/>
        <charset val="136"/>
      </rPr>
      <t>溫妮</t>
    </r>
  </si>
  <si>
    <t>WINNIE</t>
  </si>
  <si>
    <r>
      <t>每</t>
    </r>
    <r>
      <rPr>
        <sz val="14"/>
        <rFont val="Times New Roman"/>
        <family val="1"/>
      </rPr>
      <t>1~2</t>
    </r>
    <r>
      <rPr>
        <sz val="14"/>
        <rFont val="標楷體"/>
        <family val="4"/>
        <charset val="136"/>
      </rPr>
      <t>年會有一次路徑</t>
    </r>
    <r>
      <rPr>
        <sz val="14"/>
        <rFont val="Times New Roman"/>
        <family val="1"/>
      </rPr>
      <t>3</t>
    </r>
    <r>
      <rPr>
        <sz val="14"/>
        <rFont val="標楷體"/>
        <family val="4"/>
        <charset val="136"/>
      </rPr>
      <t>之中度以上颱風侵襲嘉義，僅</t>
    </r>
    <r>
      <rPr>
        <sz val="14"/>
        <rFont val="Times New Roman"/>
        <family val="1"/>
      </rPr>
      <t>2005</t>
    </r>
    <r>
      <rPr>
        <sz val="14"/>
        <rFont val="標楷體"/>
        <family val="4"/>
        <charset val="136"/>
      </rPr>
      <t>年曾同時有</t>
    </r>
    <r>
      <rPr>
        <sz val="14"/>
        <rFont val="Times New Roman"/>
        <family val="1"/>
      </rPr>
      <t>3</t>
    </r>
    <r>
      <rPr>
        <sz val="14"/>
        <rFont val="標楷體"/>
        <family val="4"/>
        <charset val="136"/>
      </rPr>
      <t>次強烈颱風，但由於有中央山脈屏障，</t>
    </r>
    <r>
      <rPr>
        <b/>
        <sz val="14"/>
        <color rgb="FF0000FF"/>
        <rFont val="標楷體"/>
        <family val="4"/>
        <charset val="136"/>
      </rPr>
      <t>嘉義區域為颱風侵襲必經路徑之中危險區域</t>
    </r>
    <r>
      <rPr>
        <sz val="14"/>
        <rFont val="標楷體"/>
        <family val="4"/>
        <charset val="136"/>
      </rPr>
      <t>。</t>
    </r>
    <phoneticPr fontId="1" type="noConversion"/>
  </si>
  <si>
    <r>
      <t>颱風歷史路徑</t>
    </r>
    <r>
      <rPr>
        <sz val="14"/>
        <color theme="1"/>
        <rFont val="Times New Roman"/>
        <family val="1"/>
      </rPr>
      <t>2</t>
    </r>
    <r>
      <rPr>
        <sz val="14"/>
        <color theme="1"/>
        <rFont val="標楷體"/>
        <family val="4"/>
        <charset val="136"/>
      </rPr>
      <t>侵襲宜蘭縣的颱風路徑分為</t>
    </r>
    <r>
      <rPr>
        <sz val="14"/>
        <color theme="1"/>
        <rFont val="Times New Roman"/>
        <family val="1"/>
      </rPr>
      <t>3</t>
    </r>
    <r>
      <rPr>
        <sz val="14"/>
        <color theme="1"/>
        <rFont val="標楷體"/>
        <family val="4"/>
        <charset val="136"/>
      </rPr>
      <t>種</t>
    </r>
    <phoneticPr fontId="1" type="noConversion"/>
  </si>
  <si>
    <r>
      <t>颱風歷史路徑</t>
    </r>
    <r>
      <rPr>
        <sz val="14"/>
        <color theme="1"/>
        <rFont val="Times New Roman"/>
        <family val="1"/>
      </rPr>
      <t>3</t>
    </r>
    <r>
      <rPr>
        <sz val="14"/>
        <color theme="1"/>
        <rFont val="標楷體"/>
        <family val="4"/>
        <charset val="136"/>
      </rPr>
      <t>侵襲嘉義縣的颱風路徑分為</t>
    </r>
    <r>
      <rPr>
        <sz val="14"/>
        <color theme="1"/>
        <rFont val="Times New Roman"/>
        <family val="1"/>
      </rPr>
      <t>3</t>
    </r>
    <r>
      <rPr>
        <sz val="14"/>
        <color theme="1"/>
        <rFont val="標楷體"/>
        <family val="4"/>
        <charset val="136"/>
      </rPr>
      <t>種</t>
    </r>
    <phoneticPr fontId="1" type="noConversion"/>
  </si>
  <si>
    <t>颱風由東北方進入嘉義</t>
    <phoneticPr fontId="1" type="noConversion"/>
  </si>
  <si>
    <t>颱風由東南方進入嘉義</t>
    <phoneticPr fontId="1" type="noConversion"/>
  </si>
  <si>
    <t>蘇迪勒</t>
    <phoneticPr fontId="1" type="noConversion"/>
  </si>
  <si>
    <t>梅姬</t>
    <phoneticPr fontId="1" type="noConversion"/>
  </si>
  <si>
    <r>
      <rPr>
        <sz val="14"/>
        <color theme="1"/>
        <rFont val="Times New Roman"/>
        <family val="1"/>
      </rPr>
      <t>(1)</t>
    </r>
    <r>
      <rPr>
        <b/>
        <sz val="14"/>
        <color rgb="FF0000FF"/>
        <rFont val="標楷體"/>
        <family val="4"/>
        <charset val="136"/>
      </rPr>
      <t>由東北方進入嘉義縣境</t>
    </r>
    <r>
      <rPr>
        <sz val="14"/>
        <color rgb="FF000000"/>
        <rFont val="標楷體"/>
        <family val="4"/>
        <charset val="136"/>
      </rPr>
      <t>，如</t>
    </r>
    <r>
      <rPr>
        <sz val="14"/>
        <color rgb="FF000000"/>
        <rFont val="Times New Roman"/>
        <family val="1"/>
      </rPr>
      <t>2016</t>
    </r>
    <r>
      <rPr>
        <sz val="14"/>
        <color rgb="FF000000"/>
        <rFont val="標楷體"/>
        <family val="4"/>
        <charset val="136"/>
      </rPr>
      <t>年梅姬颱風及</t>
    </r>
    <r>
      <rPr>
        <sz val="14"/>
        <color rgb="FF000000"/>
        <rFont val="Times New Roman"/>
        <family val="1"/>
      </rPr>
      <t>2015</t>
    </r>
    <r>
      <rPr>
        <sz val="14"/>
        <color rgb="FF000000"/>
        <rFont val="標楷體"/>
        <family val="4"/>
        <charset val="136"/>
      </rPr>
      <t>年蘇迪勒颱風，颱風由玉山山脈北側進入嘉義，颱風結構受中央山脈影響較小，</t>
    </r>
    <r>
      <rPr>
        <b/>
        <sz val="14"/>
        <color rgb="FFFF0000"/>
        <rFont val="標楷體"/>
        <family val="4"/>
        <charset val="136"/>
      </rPr>
      <t>此時陣風強度較強，溫室會遭受較大風壓。</t>
    </r>
    <phoneticPr fontId="1" type="noConversion"/>
  </si>
  <si>
    <t>聖帕</t>
    <phoneticPr fontId="1" type="noConversion"/>
  </si>
  <si>
    <t>碧利斯</t>
    <phoneticPr fontId="1" type="noConversion"/>
  </si>
  <si>
    <r>
      <rPr>
        <sz val="14"/>
        <color theme="1"/>
        <rFont val="Times New Roman"/>
        <family val="1"/>
      </rPr>
      <t>(2)</t>
    </r>
    <r>
      <rPr>
        <b/>
        <sz val="14"/>
        <color rgb="FF0000FF"/>
        <rFont val="標楷體"/>
        <family val="4"/>
        <charset val="136"/>
      </rPr>
      <t>由東北方進入宜蘭縣境</t>
    </r>
    <r>
      <rPr>
        <sz val="14"/>
        <color rgb="FF000000"/>
        <rFont val="標楷體"/>
        <family val="4"/>
        <charset val="136"/>
      </rPr>
      <t>，如</t>
    </r>
    <r>
      <rPr>
        <sz val="14"/>
        <color rgb="FF000000"/>
        <rFont val="Times New Roman"/>
        <family val="1"/>
      </rPr>
      <t>2008</t>
    </r>
    <r>
      <rPr>
        <sz val="14"/>
        <color rgb="FF000000"/>
        <rFont val="標楷體"/>
        <family val="4"/>
        <charset val="136"/>
      </rPr>
      <t>年辛樂克颱風及</t>
    </r>
    <r>
      <rPr>
        <sz val="14"/>
        <color rgb="FF000000"/>
        <rFont val="Times New Roman"/>
        <family val="1"/>
      </rPr>
      <t>2007</t>
    </r>
    <r>
      <rPr>
        <sz val="14"/>
        <color rgb="FF000000"/>
        <rFont val="標楷體"/>
        <family val="4"/>
        <charset val="136"/>
      </rPr>
      <t>年柯羅莎颱風，颱風外圍先擦過宜蘭縣北方陸地，颱風結構受地形影響減弱，</t>
    </r>
    <r>
      <rPr>
        <b/>
        <sz val="14"/>
        <color rgb="FFFF0000"/>
        <rFont val="標楷體"/>
        <family val="4"/>
        <charset val="136"/>
      </rPr>
      <t>此時陣風強度減弱，但雨勢因地形引響增加。</t>
    </r>
    <phoneticPr fontId="1" type="noConversion"/>
  </si>
  <si>
    <r>
      <rPr>
        <sz val="14"/>
        <color theme="1"/>
        <rFont val="Times New Roman"/>
        <family val="1"/>
      </rPr>
      <t>(3)</t>
    </r>
    <r>
      <rPr>
        <b/>
        <sz val="14"/>
        <color rgb="FF0000FF"/>
        <rFont val="標楷體"/>
        <family val="4"/>
        <charset val="136"/>
      </rPr>
      <t>颱風由基隆境內進入</t>
    </r>
    <r>
      <rPr>
        <sz val="14"/>
        <color rgb="FF000000"/>
        <rFont val="標楷體"/>
        <family val="4"/>
        <charset val="136"/>
      </rPr>
      <t>，如</t>
    </r>
    <r>
      <rPr>
        <sz val="14"/>
        <color rgb="FF000000"/>
        <rFont val="Times New Roman"/>
        <family val="1"/>
      </rPr>
      <t>2013</t>
    </r>
    <r>
      <rPr>
        <sz val="14"/>
        <color rgb="FF000000"/>
        <rFont val="標楷體"/>
        <family val="4"/>
        <charset val="136"/>
      </rPr>
      <t>年蘇力颱風，颱風結構受基隆地區地形影響，</t>
    </r>
    <r>
      <rPr>
        <b/>
        <sz val="14"/>
        <color rgb="FFFF0000"/>
        <rFont val="標楷體"/>
        <family val="4"/>
        <charset val="136"/>
      </rPr>
      <t>風速及雨勢皆減弱。</t>
    </r>
    <phoneticPr fontId="1" type="noConversion"/>
  </si>
  <si>
    <r>
      <rPr>
        <sz val="14"/>
        <color theme="1"/>
        <rFont val="Times New Roman"/>
        <family val="1"/>
      </rPr>
      <t>(2)</t>
    </r>
    <r>
      <rPr>
        <b/>
        <sz val="14"/>
        <color rgb="FF0000FF"/>
        <rFont val="標楷體"/>
        <family val="4"/>
        <charset val="136"/>
      </rPr>
      <t>由東南方進入嘉義縣境</t>
    </r>
    <r>
      <rPr>
        <sz val="14"/>
        <color rgb="FF000000"/>
        <rFont val="標楷體"/>
        <family val="4"/>
        <charset val="136"/>
      </rPr>
      <t>，如</t>
    </r>
    <r>
      <rPr>
        <sz val="14"/>
        <color rgb="FF000000"/>
        <rFont val="Times New Roman"/>
        <family val="1"/>
      </rPr>
      <t>2007</t>
    </r>
    <r>
      <rPr>
        <sz val="14"/>
        <color rgb="FF000000"/>
        <rFont val="標楷體"/>
        <family val="4"/>
        <charset val="136"/>
      </rPr>
      <t>年聖帕颱風及</t>
    </r>
    <r>
      <rPr>
        <sz val="14"/>
        <color rgb="FF000000"/>
        <rFont val="Times New Roman"/>
        <family val="1"/>
      </rPr>
      <t>2000</t>
    </r>
    <r>
      <rPr>
        <sz val="14"/>
        <color rgb="FF000000"/>
        <rFont val="標楷體"/>
        <family val="4"/>
        <charset val="136"/>
      </rPr>
      <t>年碧利斯颱風，颱風眼經過玉山山脈，颱風結構受地形影響減弱，</t>
    </r>
    <r>
      <rPr>
        <b/>
        <sz val="14"/>
        <color rgb="FFFF0000"/>
        <rFont val="標楷體"/>
        <family val="4"/>
        <charset val="136"/>
      </rPr>
      <t>風速及雨勢皆減弱。</t>
    </r>
    <phoneticPr fontId="1" type="noConversion"/>
  </si>
  <si>
    <t>泰利</t>
    <phoneticPr fontId="1" type="noConversion"/>
  </si>
  <si>
    <t>嘉義縣附近之氣象觀測紀錄位置為嘉義氣象站</t>
    <phoneticPr fontId="1" type="noConversion"/>
  </si>
  <si>
    <r>
      <t>地址是嘉義市北新里海口寮路</t>
    </r>
    <r>
      <rPr>
        <sz val="14"/>
        <rFont val="Times New Roman"/>
        <family val="1"/>
      </rPr>
      <t>56</t>
    </r>
    <r>
      <rPr>
        <sz val="14"/>
        <rFont val="標楷體"/>
        <family val="4"/>
        <charset val="136"/>
      </rPr>
      <t>號</t>
    </r>
    <phoneticPr fontId="1" type="noConversion"/>
  </si>
  <si>
    <t>-</t>
    <phoneticPr fontId="1" type="noConversion"/>
  </si>
  <si>
    <t>莫拉克</t>
    <phoneticPr fontId="1" type="noConversion"/>
  </si>
  <si>
    <r>
      <rPr>
        <sz val="14"/>
        <color theme="1"/>
        <rFont val="Times New Roman"/>
        <family val="1"/>
      </rPr>
      <t>(3)</t>
    </r>
    <r>
      <rPr>
        <b/>
        <sz val="14"/>
        <color rgb="FF0000FF"/>
        <rFont val="標楷體"/>
        <family val="4"/>
        <charset val="136"/>
      </rPr>
      <t>強烈颱風由嘉義北側經過</t>
    </r>
    <r>
      <rPr>
        <sz val="14"/>
        <color rgb="FF000000"/>
        <rFont val="標楷體"/>
        <family val="4"/>
        <charset val="136"/>
      </rPr>
      <t>，如</t>
    </r>
    <r>
      <rPr>
        <sz val="14"/>
        <color rgb="FF000000"/>
        <rFont val="Times New Roman"/>
        <family val="1"/>
      </rPr>
      <t>2009</t>
    </r>
    <r>
      <rPr>
        <sz val="14"/>
        <color rgb="FF000000"/>
        <rFont val="標楷體"/>
        <family val="4"/>
        <charset val="136"/>
      </rPr>
      <t>年莫拉克颱風及</t>
    </r>
    <r>
      <rPr>
        <sz val="14"/>
        <color rgb="FF000000"/>
        <rFont val="Times New Roman"/>
        <family val="1"/>
      </rPr>
      <t>2005</t>
    </r>
    <r>
      <rPr>
        <sz val="14"/>
        <color rgb="FF000000"/>
        <rFont val="標楷體"/>
        <family val="4"/>
        <charset val="136"/>
      </rPr>
      <t>年泰利颱風，颱風結構受中央山脈影響較小</t>
    </r>
    <r>
      <rPr>
        <b/>
        <sz val="14"/>
        <color rgb="FFFF0000"/>
        <rFont val="標楷體"/>
        <family val="4"/>
        <charset val="136"/>
      </rPr>
      <t>，此時陣風強度及雨勢皆較大。</t>
    </r>
    <phoneticPr fontId="1" type="noConversion"/>
  </si>
  <si>
    <r>
      <rPr>
        <b/>
        <sz val="14"/>
        <color rgb="FF0000FF"/>
        <rFont val="Times New Roman"/>
        <family val="1"/>
      </rPr>
      <t>2015</t>
    </r>
    <r>
      <rPr>
        <b/>
        <sz val="14"/>
        <color rgb="FF0000FF"/>
        <rFont val="標楷體"/>
        <family val="4"/>
        <charset val="136"/>
      </rPr>
      <t>年蘇迪勒颱風之陣風值最大為</t>
    </r>
    <r>
      <rPr>
        <b/>
        <sz val="14"/>
        <color rgb="FF0000FF"/>
        <rFont val="Times New Roman"/>
        <family val="1"/>
      </rPr>
      <t>33.8m/s</t>
    </r>
    <r>
      <rPr>
        <b/>
        <sz val="14"/>
        <color rgb="FF0000FF"/>
        <rFont val="標楷體"/>
        <family val="4"/>
        <charset val="136"/>
      </rPr>
      <t>，蒲福風級</t>
    </r>
    <r>
      <rPr>
        <b/>
        <sz val="14"/>
        <color rgb="FF0000FF"/>
        <rFont val="Times New Roman"/>
        <family val="1"/>
      </rPr>
      <t>12</t>
    </r>
    <r>
      <rPr>
        <b/>
        <sz val="14"/>
        <color rgb="FF0000FF"/>
        <rFont val="標楷體"/>
        <family val="4"/>
        <charset val="136"/>
      </rPr>
      <t>級風</t>
    </r>
    <phoneticPr fontId="1" type="noConversion"/>
  </si>
  <si>
    <r>
      <rPr>
        <b/>
        <sz val="14"/>
        <color rgb="FF0000FF"/>
        <rFont val="Times New Roman"/>
        <family val="1"/>
      </rPr>
      <t>2009</t>
    </r>
    <r>
      <rPr>
        <b/>
        <sz val="14"/>
        <color rgb="FF0000FF"/>
        <rFont val="標楷體"/>
        <family val="4"/>
        <charset val="136"/>
      </rPr>
      <t>年莫拉克颱風之</t>
    </r>
    <r>
      <rPr>
        <b/>
        <sz val="14"/>
        <color rgb="FF0000FF"/>
        <rFont val="Times New Roman"/>
        <family val="1"/>
      </rPr>
      <t>24</t>
    </r>
    <r>
      <rPr>
        <b/>
        <sz val="14"/>
        <color rgb="FF0000FF"/>
        <rFont val="標楷體"/>
        <family val="4"/>
        <charset val="136"/>
      </rPr>
      <t>小時雨量值最大，量測值為</t>
    </r>
    <r>
      <rPr>
        <b/>
        <sz val="14"/>
        <color rgb="FF0000FF"/>
        <rFont val="Times New Roman"/>
        <family val="1"/>
      </rPr>
      <t>526mm</t>
    </r>
    <phoneticPr fontId="1" type="noConversion"/>
  </si>
  <si>
    <r>
      <rPr>
        <sz val="14"/>
        <color rgb="FF000000"/>
        <rFont val="標楷體"/>
        <family val="4"/>
        <charset val="136"/>
      </rPr>
      <t>嘉義縣左方為台灣海峽，東側為玉山山脈，腹地皆為平原，</t>
    </r>
    <r>
      <rPr>
        <b/>
        <sz val="14"/>
        <color rgb="FF0000FF"/>
        <rFont val="標楷體"/>
        <family val="4"/>
        <charset val="136"/>
      </rPr>
      <t>平時承受風向以西風、北風及西南方之風向為主，颱風侵襲時可能會出現南風。</t>
    </r>
    <phoneticPr fontId="1" type="noConversion"/>
  </si>
  <si>
    <t>強烈颱風由嘉義北側經過</t>
    <phoneticPr fontId="1" type="noConversion"/>
  </si>
  <si>
    <t>名稱</t>
    <phoneticPr fontId="1" type="noConversion"/>
  </si>
  <si>
    <t>編號</t>
    <phoneticPr fontId="1" type="noConversion"/>
  </si>
  <si>
    <t>影響參數</t>
    <phoneticPr fontId="1" type="noConversion"/>
  </si>
  <si>
    <t>西</t>
    <phoneticPr fontId="1" type="noConversion"/>
  </si>
  <si>
    <t>北</t>
    <phoneticPr fontId="1" type="noConversion"/>
  </si>
  <si>
    <t>南</t>
    <phoneticPr fontId="1" type="noConversion"/>
  </si>
  <si>
    <t>西南</t>
    <phoneticPr fontId="1" type="noConversion"/>
  </si>
  <si>
    <t>東</t>
    <phoneticPr fontId="1" type="noConversion"/>
  </si>
  <si>
    <t>東</t>
    <phoneticPr fontId="1" type="noConversion"/>
  </si>
  <si>
    <t>西</t>
    <phoneticPr fontId="1" type="noConversion"/>
  </si>
  <si>
    <t>南</t>
    <phoneticPr fontId="1" type="noConversion"/>
  </si>
  <si>
    <t>北</t>
    <phoneticPr fontId="1" type="noConversion"/>
  </si>
  <si>
    <t>縣市</t>
    <phoneticPr fontId="1" type="noConversion"/>
  </si>
  <si>
    <t>縣市</t>
    <phoneticPr fontId="1" type="noConversion"/>
  </si>
  <si>
    <t>主要颱風路徑</t>
    <phoneticPr fontId="1" type="noConversion"/>
  </si>
  <si>
    <r>
      <t>宜蘭縣</t>
    </r>
    <r>
      <rPr>
        <sz val="14"/>
        <rFont val="標楷體"/>
        <family val="4"/>
        <charset val="136"/>
      </rPr>
      <t>以颱風歷史路徑編號</t>
    </r>
    <r>
      <rPr>
        <sz val="14"/>
        <rFont val="Times New Roman"/>
        <family val="1"/>
      </rPr>
      <t>2</t>
    </r>
    <r>
      <rPr>
        <sz val="14"/>
        <rFont val="標楷體"/>
        <family val="4"/>
        <charset val="136"/>
      </rPr>
      <t>通過的機率最高，其定義為颱風路徑貫穿北台灣，所以颱風眼經過宜蘭縣的機率最高，溫室承受的風速最大。</t>
    </r>
    <phoneticPr fontId="1" type="noConversion"/>
  </si>
  <si>
    <t>颱風路徑貫穿北台灣</t>
    <phoneticPr fontId="1" type="noConversion"/>
  </si>
  <si>
    <r>
      <t>嘉義縣以颱風歷史路徑編號</t>
    </r>
    <r>
      <rPr>
        <sz val="14"/>
        <rFont val="Times New Roman"/>
        <family val="1"/>
      </rPr>
      <t>3</t>
    </r>
    <r>
      <rPr>
        <sz val="14"/>
        <rFont val="標楷體"/>
        <family val="4"/>
        <charset val="136"/>
      </rPr>
      <t>通過的機率最高，其定義為颱風路徑貫穿中台灣，所以颱風眼經過嘉義縣的機率最高，溫室承受的風速最大。</t>
    </r>
    <phoneticPr fontId="1" type="noConversion"/>
  </si>
  <si>
    <t>颱風路徑貫穿中台灣</t>
  </si>
  <si>
    <t>山脈位置</t>
    <phoneticPr fontId="1" type="noConversion"/>
  </si>
  <si>
    <t>東</t>
    <phoneticPr fontId="1" type="noConversion"/>
  </si>
  <si>
    <t>海洋位置</t>
    <phoneticPr fontId="1" type="noConversion"/>
  </si>
  <si>
    <t>主要風向</t>
    <phoneticPr fontId="1" type="noConversion"/>
  </si>
  <si>
    <t>次要風向</t>
    <phoneticPr fontId="1" type="noConversion"/>
  </si>
  <si>
    <t>西南</t>
    <phoneticPr fontId="1" type="noConversion"/>
  </si>
  <si>
    <t>東</t>
    <phoneticPr fontId="1" type="noConversion"/>
  </si>
  <si>
    <t>較小風向</t>
    <phoneticPr fontId="1" type="noConversion"/>
  </si>
  <si>
    <t>東南</t>
    <phoneticPr fontId="1" type="noConversion"/>
  </si>
  <si>
    <t>-</t>
    <phoneticPr fontId="1" type="noConversion"/>
  </si>
  <si>
    <t>北</t>
    <phoneticPr fontId="1" type="noConversion"/>
  </si>
  <si>
    <t>西</t>
    <phoneticPr fontId="1" type="noConversion"/>
  </si>
  <si>
    <t>最大陣風(級風)</t>
    <phoneticPr fontId="1" type="noConversion"/>
  </si>
  <si>
    <t>主要河流</t>
    <phoneticPr fontId="1" type="noConversion"/>
  </si>
  <si>
    <t>蘭陽溪</t>
    <phoneticPr fontId="1" type="noConversion"/>
  </si>
  <si>
    <t>B313</t>
  </si>
  <si>
    <t>方向</t>
    <phoneticPr fontId="1" type="noConversion"/>
  </si>
  <si>
    <t>東</t>
    <phoneticPr fontId="1" type="noConversion"/>
  </si>
  <si>
    <t>西</t>
    <phoneticPr fontId="1" type="noConversion"/>
  </si>
  <si>
    <t>南</t>
    <phoneticPr fontId="1" type="noConversion"/>
  </si>
  <si>
    <t>建物形式</t>
    <phoneticPr fontId="1" type="noConversion"/>
  </si>
  <si>
    <t>建物高度</t>
    <phoneticPr fontId="1" type="noConversion"/>
  </si>
  <si>
    <t>有無建物</t>
    <phoneticPr fontId="1" type="noConversion"/>
  </si>
  <si>
    <t>溫室朝向</t>
    <phoneticPr fontId="1" type="noConversion"/>
  </si>
  <si>
    <t>種植作物</t>
    <phoneticPr fontId="1" type="noConversion"/>
  </si>
  <si>
    <t>溫室總高</t>
    <phoneticPr fontId="1" type="noConversion"/>
  </si>
  <si>
    <t>圓頂力霸</t>
    <phoneticPr fontId="1" type="noConversion"/>
  </si>
  <si>
    <r>
      <t>溫室總寬</t>
    </r>
    <r>
      <rPr>
        <sz val="14"/>
        <color theme="1"/>
        <rFont val="Times New Roman"/>
        <family val="1"/>
      </rPr>
      <t>(m)</t>
    </r>
    <phoneticPr fontId="1" type="noConversion"/>
  </si>
  <si>
    <r>
      <t>溫室總長</t>
    </r>
    <r>
      <rPr>
        <sz val="14"/>
        <rFont val="Times New Roman"/>
        <family val="1"/>
      </rPr>
      <t>(m)</t>
    </r>
    <phoneticPr fontId="1" type="noConversion"/>
  </si>
  <si>
    <r>
      <t>溫室面積</t>
    </r>
    <r>
      <rPr>
        <sz val="14"/>
        <rFont val="Times New Roman"/>
        <family val="1"/>
      </rPr>
      <t>(m</t>
    </r>
    <r>
      <rPr>
        <vertAlign val="superscript"/>
        <sz val="14"/>
        <rFont val="Times New Roman"/>
        <family val="1"/>
      </rPr>
      <t>2</t>
    </r>
    <r>
      <rPr>
        <sz val="14"/>
        <rFont val="Times New Roman"/>
        <family val="1"/>
      </rPr>
      <t>)</t>
    </r>
    <phoneticPr fontId="1" type="noConversion"/>
  </si>
  <si>
    <t>數值內容</t>
    <phoneticPr fontId="1" type="noConversion"/>
  </si>
  <si>
    <r>
      <t>溫室總高</t>
    </r>
    <r>
      <rPr>
        <sz val="14"/>
        <rFont val="Times New Roman"/>
        <family val="1"/>
      </rPr>
      <t>(cm)</t>
    </r>
    <phoneticPr fontId="1" type="noConversion"/>
  </si>
  <si>
    <r>
      <t>地基總寬</t>
    </r>
    <r>
      <rPr>
        <sz val="14"/>
        <color theme="1"/>
        <rFont val="Times New Roman"/>
        <family val="1"/>
      </rPr>
      <t>(m)</t>
    </r>
    <phoneticPr fontId="1" type="noConversion"/>
  </si>
  <si>
    <r>
      <t>地基總長</t>
    </r>
    <r>
      <rPr>
        <sz val="14"/>
        <rFont val="Times New Roman"/>
        <family val="1"/>
      </rPr>
      <t>(m)</t>
    </r>
    <phoneticPr fontId="1" type="noConversion"/>
  </si>
  <si>
    <r>
      <t>地基面積</t>
    </r>
    <r>
      <rPr>
        <sz val="14"/>
        <rFont val="Times New Roman"/>
        <family val="1"/>
      </rPr>
      <t>(m</t>
    </r>
    <r>
      <rPr>
        <vertAlign val="superscript"/>
        <sz val="14"/>
        <rFont val="Times New Roman"/>
        <family val="1"/>
      </rPr>
      <t>2</t>
    </r>
    <r>
      <rPr>
        <sz val="14"/>
        <rFont val="Times New Roman"/>
        <family val="1"/>
      </rPr>
      <t>)</t>
    </r>
    <phoneticPr fontId="1" type="noConversion"/>
  </si>
  <si>
    <t>編號</t>
    <phoneticPr fontId="1" type="noConversion"/>
  </si>
  <si>
    <t>名稱</t>
    <phoneticPr fontId="1" type="noConversion"/>
  </si>
  <si>
    <t>溫室所在縣市</t>
    <phoneticPr fontId="1" type="noConversion"/>
  </si>
  <si>
    <t>溫室所在鄉鎮</t>
    <phoneticPr fontId="1" type="noConversion"/>
  </si>
  <si>
    <t>溫室地基地址</t>
    <phoneticPr fontId="1" type="noConversion"/>
  </si>
  <si>
    <t>溫室位置衛星圖</t>
    <phoneticPr fontId="1" type="noConversion"/>
  </si>
  <si>
    <r>
      <t>溫室</t>
    </r>
    <r>
      <rPr>
        <sz val="16"/>
        <color theme="1"/>
        <rFont val="Times New Roman"/>
        <family val="1"/>
      </rPr>
      <t>Google</t>
    </r>
    <r>
      <rPr>
        <sz val="16"/>
        <color theme="1"/>
        <rFont val="標楷體"/>
        <family val="4"/>
        <charset val="136"/>
      </rPr>
      <t>地圖位置</t>
    </r>
    <phoneticPr fontId="1" type="noConversion"/>
  </si>
  <si>
    <t>有無建物</t>
    <phoneticPr fontId="1" type="noConversion"/>
  </si>
  <si>
    <t>填寫內容</t>
    <phoneticPr fontId="1" type="noConversion"/>
  </si>
  <si>
    <t>溫室地點資料</t>
    <phoneticPr fontId="1" type="noConversion"/>
  </si>
  <si>
    <t>溫室周遭資料</t>
    <phoneticPr fontId="1" type="noConversion"/>
  </si>
  <si>
    <t>溫室周遭方向</t>
    <phoneticPr fontId="1" type="noConversion"/>
  </si>
  <si>
    <t>溫室朝向</t>
    <phoneticPr fontId="1" type="noConversion"/>
  </si>
  <si>
    <t>溫室地點衛星圖</t>
    <phoneticPr fontId="1" type="noConversion"/>
  </si>
  <si>
    <t>排水溝</t>
    <phoneticPr fontId="1" type="noConversion"/>
  </si>
  <si>
    <t>溫室農作物</t>
    <phoneticPr fontId="1" type="noConversion"/>
  </si>
  <si>
    <t>溫室地基及尺寸資料</t>
    <phoneticPr fontId="1" type="noConversion"/>
  </si>
  <si>
    <t>G9</t>
    <phoneticPr fontId="1" type="noConversion"/>
  </si>
  <si>
    <t>G11</t>
    <phoneticPr fontId="1" type="noConversion"/>
  </si>
  <si>
    <t>蒲福風級數</t>
    <phoneticPr fontId="1" type="noConversion"/>
  </si>
  <si>
    <r>
      <t>承受風速</t>
    </r>
    <r>
      <rPr>
        <sz val="14"/>
        <rFont val="Times New Roman"/>
        <family val="1"/>
      </rPr>
      <t>(m/s)</t>
    </r>
    <phoneticPr fontId="1" type="noConversion"/>
  </si>
  <si>
    <t>正立面圖</t>
    <phoneticPr fontId="1" type="noConversion"/>
  </si>
  <si>
    <t>左右側立面圖</t>
    <phoneticPr fontId="1" type="noConversion"/>
  </si>
  <si>
    <t>背立面圖</t>
    <phoneticPr fontId="1" type="noConversion"/>
  </si>
  <si>
    <t>風力分級名稱</t>
    <phoneticPr fontId="1" type="noConversion"/>
  </si>
  <si>
    <t>SC1</t>
  </si>
  <si>
    <t>SC2</t>
  </si>
  <si>
    <t>SC3</t>
  </si>
  <si>
    <t>SC4</t>
  </si>
  <si>
    <t>B1</t>
  </si>
  <si>
    <t>B2</t>
  </si>
  <si>
    <t>B3</t>
  </si>
  <si>
    <t>B4</t>
  </si>
  <si>
    <t>B5</t>
  </si>
  <si>
    <t>B6</t>
  </si>
  <si>
    <t>B7</t>
  </si>
  <si>
    <t>C  75x45x15x2.3t</t>
  </si>
  <si>
    <t>T1</t>
  </si>
  <si>
    <t>W1</t>
  </si>
  <si>
    <r>
      <rPr>
        <sz val="14"/>
        <color theme="1"/>
        <rFont val="標楷體"/>
        <family val="4"/>
        <charset val="136"/>
      </rPr>
      <t>規</t>
    </r>
    <r>
      <rPr>
        <sz val="14"/>
        <color theme="1"/>
        <rFont val="Times New Roman"/>
        <family val="1"/>
      </rPr>
      <t xml:space="preserve"> </t>
    </r>
    <r>
      <rPr>
        <sz val="14"/>
        <color theme="1"/>
        <rFont val="標楷體"/>
        <family val="4"/>
        <charset val="136"/>
      </rPr>
      <t>格</t>
    </r>
  </si>
  <si>
    <r>
      <rPr>
        <sz val="14"/>
        <color theme="1"/>
        <rFont val="標楷體"/>
        <family val="4"/>
        <charset val="136"/>
      </rPr>
      <t>主立柱</t>
    </r>
  </si>
  <si>
    <r>
      <rPr>
        <sz val="14"/>
        <color theme="1"/>
        <rFont val="標楷體"/>
        <family val="4"/>
        <charset val="136"/>
      </rPr>
      <t>副立柱</t>
    </r>
  </si>
  <si>
    <r>
      <rPr>
        <sz val="14"/>
        <color theme="1"/>
        <rFont val="標楷體"/>
        <family val="4"/>
        <charset val="136"/>
      </rPr>
      <t>上層柱</t>
    </r>
  </si>
  <si>
    <r>
      <rPr>
        <sz val="14"/>
        <color theme="1"/>
        <rFont val="標楷體"/>
        <family val="4"/>
        <charset val="136"/>
      </rPr>
      <t>內綱桁管</t>
    </r>
  </si>
  <si>
    <r>
      <rPr>
        <sz val="14"/>
        <color theme="1"/>
        <rFont val="標楷體"/>
        <family val="4"/>
        <charset val="136"/>
      </rPr>
      <t>名</t>
    </r>
    <r>
      <rPr>
        <sz val="14"/>
        <color theme="1"/>
        <rFont val="Times New Roman"/>
        <family val="1"/>
      </rPr>
      <t xml:space="preserve"> </t>
    </r>
    <r>
      <rPr>
        <sz val="14"/>
        <color theme="1"/>
        <rFont val="標楷體"/>
        <family val="4"/>
        <charset val="136"/>
      </rPr>
      <t>稱</t>
    </r>
    <phoneticPr fontId="1" type="noConversion"/>
  </si>
  <si>
    <t>柱</t>
    <phoneticPr fontId="1" type="noConversion"/>
  </si>
  <si>
    <t>圓管樑</t>
    <phoneticPr fontId="1" type="noConversion"/>
  </si>
  <si>
    <t>樑</t>
    <phoneticPr fontId="1" type="noConversion"/>
  </si>
  <si>
    <t>其他</t>
    <phoneticPr fontId="1" type="noConversion"/>
  </si>
  <si>
    <t>拉網上層柱</t>
    <phoneticPr fontId="1" type="noConversion"/>
  </si>
  <si>
    <r>
      <t>2</t>
    </r>
    <r>
      <rPr>
        <sz val="14"/>
        <color theme="1"/>
        <rFont val="細明體"/>
        <family val="3"/>
        <charset val="136"/>
      </rPr>
      <t>□□</t>
    </r>
    <r>
      <rPr>
        <sz val="14"/>
        <color theme="1"/>
        <rFont val="Times New Roman"/>
        <family val="1"/>
      </rPr>
      <t xml:space="preserve"> 60x60x3.2t</t>
    </r>
    <phoneticPr fontId="1" type="noConversion"/>
  </si>
  <si>
    <r>
      <rPr>
        <sz val="14"/>
        <color theme="1"/>
        <rFont val="細明體"/>
        <family val="3"/>
        <charset val="136"/>
      </rPr>
      <t>□</t>
    </r>
    <r>
      <rPr>
        <sz val="14"/>
        <color theme="1"/>
        <rFont val="Times New Roman"/>
        <family val="1"/>
      </rPr>
      <t xml:space="preserve"> 60x60x3.2t</t>
    </r>
    <phoneticPr fontId="1" type="noConversion"/>
  </si>
  <si>
    <r>
      <t>□</t>
    </r>
    <r>
      <rPr>
        <sz val="14"/>
        <color theme="1"/>
        <rFont val="Times New Roman"/>
        <family val="1"/>
      </rPr>
      <t xml:space="preserve"> 60x60x2.3t</t>
    </r>
    <phoneticPr fontId="1" type="noConversion"/>
  </si>
  <si>
    <r>
      <rPr>
        <sz val="14"/>
        <color theme="1"/>
        <rFont val="細明體"/>
        <family val="3"/>
        <charset val="136"/>
      </rPr>
      <t>□</t>
    </r>
    <r>
      <rPr>
        <sz val="14"/>
        <color theme="1"/>
        <rFont val="Times New Roman"/>
        <family val="1"/>
      </rPr>
      <t xml:space="preserve"> 50x50x1.6t</t>
    </r>
    <phoneticPr fontId="1" type="noConversion"/>
  </si>
  <si>
    <t>Ø 1-1/4"x3.2</t>
    <phoneticPr fontId="1" type="noConversion"/>
  </si>
  <si>
    <t>屋面弧管</t>
    <phoneticPr fontId="1" type="noConversion"/>
  </si>
  <si>
    <t>屋面桁管</t>
    <phoneticPr fontId="1" type="noConversion"/>
  </si>
  <si>
    <t>上網橫管</t>
    <phoneticPr fontId="1" type="noConversion"/>
  </si>
  <si>
    <t>上網桁管</t>
    <phoneticPr fontId="1" type="noConversion"/>
  </si>
  <si>
    <t>上網斜撐管</t>
    <phoneticPr fontId="1" type="noConversion"/>
  </si>
  <si>
    <t>弧管支撐管</t>
    <phoneticPr fontId="1" type="noConversion"/>
  </si>
  <si>
    <t>內綱支撐管</t>
    <phoneticPr fontId="1" type="noConversion"/>
  </si>
  <si>
    <t>Ø 1"x2.3</t>
    <phoneticPr fontId="1" type="noConversion"/>
  </si>
  <si>
    <t>B8</t>
    <phoneticPr fontId="1" type="noConversion"/>
  </si>
  <si>
    <t>外拉網樑</t>
    <phoneticPr fontId="1" type="noConversion"/>
  </si>
  <si>
    <t>外網桁樑</t>
    <phoneticPr fontId="1" type="noConversion"/>
  </si>
  <si>
    <t>短主樑</t>
    <phoneticPr fontId="1" type="noConversion"/>
  </si>
  <si>
    <t>矮牆樑</t>
    <phoneticPr fontId="1" type="noConversion"/>
  </si>
  <si>
    <t>風扇樑</t>
    <phoneticPr fontId="1" type="noConversion"/>
  </si>
  <si>
    <t>水槽樑</t>
    <phoneticPr fontId="1" type="noConversion"/>
  </si>
  <si>
    <t>內網桁管</t>
    <phoneticPr fontId="1" type="noConversion"/>
  </si>
  <si>
    <t>側樑</t>
    <phoneticPr fontId="1" type="noConversion"/>
  </si>
  <si>
    <t>主樑</t>
    <phoneticPr fontId="1" type="noConversion"/>
  </si>
  <si>
    <r>
      <rPr>
        <sz val="14"/>
        <color theme="1"/>
        <rFont val="細明體"/>
        <family val="3"/>
        <charset val="136"/>
      </rPr>
      <t>□</t>
    </r>
    <r>
      <rPr>
        <sz val="14"/>
        <color theme="1"/>
        <rFont val="Times New Roman"/>
        <family val="1"/>
      </rPr>
      <t xml:space="preserve"> 75x75x2.0t</t>
    </r>
    <phoneticPr fontId="1" type="noConversion"/>
  </si>
  <si>
    <t>C  75x45x15x2.3t</t>
    <phoneticPr fontId="1" type="noConversion"/>
  </si>
  <si>
    <r>
      <t>上下弦桿□</t>
    </r>
    <r>
      <rPr>
        <sz val="14"/>
        <color theme="1"/>
        <rFont val="Times New Roman"/>
        <family val="1"/>
      </rPr>
      <t>60x30x3.2t H=500</t>
    </r>
    <phoneticPr fontId="1" type="noConversion"/>
  </si>
  <si>
    <t>C   200x60x2.3t</t>
    <phoneticPr fontId="1" type="noConversion"/>
  </si>
  <si>
    <r>
      <t>2</t>
    </r>
    <r>
      <rPr>
        <sz val="14"/>
        <color theme="1"/>
        <rFont val="細明體"/>
        <family val="3"/>
        <charset val="136"/>
      </rPr>
      <t>□□</t>
    </r>
    <r>
      <rPr>
        <sz val="14"/>
        <color theme="1"/>
        <rFont val="Times New Roman"/>
        <family val="1"/>
      </rPr>
      <t xml:space="preserve"> 50x50x3.2t</t>
    </r>
    <phoneticPr fontId="1" type="noConversion"/>
  </si>
  <si>
    <t>側拉桿</t>
    <phoneticPr fontId="1" type="noConversion"/>
  </si>
  <si>
    <t>水槽</t>
    <phoneticPr fontId="1" type="noConversion"/>
  </si>
  <si>
    <t>Ø 10mm</t>
    <phoneticPr fontId="1" type="noConversion"/>
  </si>
  <si>
    <t>U120x100x3.2t</t>
    <phoneticPr fontId="1" type="noConversion"/>
  </si>
  <si>
    <r>
      <rPr>
        <sz val="14"/>
        <color theme="1"/>
        <rFont val="Times New Roman"/>
        <family val="1"/>
      </rPr>
      <t>UTP-G11</t>
    </r>
    <r>
      <rPr>
        <sz val="14"/>
        <color theme="1"/>
        <rFont val="標楷體"/>
        <family val="4"/>
        <charset val="136"/>
      </rPr>
      <t>使用構件尺寸</t>
    </r>
    <phoneticPr fontId="1" type="noConversion"/>
  </si>
  <si>
    <t>主立柱</t>
    <phoneticPr fontId="1" type="noConversion"/>
  </si>
  <si>
    <t>SC1'</t>
    <phoneticPr fontId="1" type="noConversion"/>
  </si>
  <si>
    <t>Ø 1-3/4"x2.3</t>
    <phoneticPr fontId="1" type="noConversion"/>
  </si>
  <si>
    <r>
      <t>□</t>
    </r>
    <r>
      <rPr>
        <sz val="14"/>
        <color theme="1"/>
        <rFont val="Times New Roman"/>
        <family val="1"/>
      </rPr>
      <t xml:space="preserve"> 60x60x3.2t</t>
    </r>
    <phoneticPr fontId="1" type="noConversion"/>
  </si>
  <si>
    <t>Ø 2"x3.2</t>
    <phoneticPr fontId="1" type="noConversion"/>
  </si>
  <si>
    <t>Ø 1-1/2"x2.3</t>
    <phoneticPr fontId="1" type="noConversion"/>
  </si>
  <si>
    <r>
      <rPr>
        <sz val="14"/>
        <color theme="1"/>
        <rFont val="細明體"/>
        <family val="3"/>
        <charset val="136"/>
      </rPr>
      <t>□</t>
    </r>
    <r>
      <rPr>
        <sz val="14"/>
        <color theme="1"/>
        <rFont val="Times New Roman"/>
        <family val="1"/>
      </rPr>
      <t xml:space="preserve"> 75x75x2.3t</t>
    </r>
    <phoneticPr fontId="1" type="noConversion"/>
  </si>
  <si>
    <r>
      <t>□</t>
    </r>
    <r>
      <rPr>
        <sz val="14"/>
        <color theme="1"/>
        <rFont val="Times New Roman"/>
        <family val="1"/>
      </rPr>
      <t xml:space="preserve"> 75x75x2.3t</t>
    </r>
  </si>
  <si>
    <t>數值內容</t>
    <phoneticPr fontId="1" type="noConversion"/>
  </si>
  <si>
    <r>
      <t>單棟跨距</t>
    </r>
    <r>
      <rPr>
        <sz val="14"/>
        <rFont val="Times New Roman"/>
        <family val="1"/>
      </rPr>
      <t>(cm)</t>
    </r>
    <phoneticPr fontId="1" type="noConversion"/>
  </si>
  <si>
    <t>橫向剖面圖</t>
    <phoneticPr fontId="1" type="noConversion"/>
  </si>
  <si>
    <t>基礎平面圖</t>
    <phoneticPr fontId="1" type="noConversion"/>
  </si>
  <si>
    <t>簡易型溫室</t>
    <phoneticPr fontId="1" type="noConversion"/>
  </si>
  <si>
    <t>G10</t>
    <phoneticPr fontId="1" type="noConversion"/>
  </si>
  <si>
    <t>UP540</t>
  </si>
  <si>
    <t>5.4m</t>
  </si>
  <si>
    <t>3.05m</t>
  </si>
  <si>
    <t>1.85m</t>
  </si>
  <si>
    <t>0.5m</t>
  </si>
  <si>
    <t>500mm</t>
  </si>
  <si>
    <t>P-22.2  × 1.6</t>
  </si>
  <si>
    <t>UP600</t>
  </si>
  <si>
    <t>6.0m</t>
  </si>
  <si>
    <t>3.45m</t>
  </si>
  <si>
    <t>2.05m</t>
  </si>
  <si>
    <t>UP720</t>
  </si>
  <si>
    <t>7.2m</t>
  </si>
  <si>
    <t>3.8m</t>
  </si>
  <si>
    <t>1.8m</t>
  </si>
  <si>
    <t>P-26.2  × 1.6</t>
  </si>
  <si>
    <r>
      <rPr>
        <sz val="14"/>
        <color theme="1"/>
        <rFont val="標楷體"/>
        <family val="4"/>
        <charset val="136"/>
      </rPr>
      <t>溫室代號</t>
    </r>
  </si>
  <si>
    <r>
      <rPr>
        <sz val="14"/>
        <color theme="1"/>
        <rFont val="標楷體"/>
        <family val="4"/>
        <charset val="136"/>
      </rPr>
      <t>寬度</t>
    </r>
  </si>
  <si>
    <r>
      <rPr>
        <sz val="14"/>
        <color theme="1"/>
        <rFont val="標楷體"/>
        <family val="4"/>
        <charset val="136"/>
      </rPr>
      <t>棟高</t>
    </r>
  </si>
  <si>
    <r>
      <rPr>
        <sz val="14"/>
        <color theme="1"/>
        <rFont val="標楷體"/>
        <family val="4"/>
        <charset val="136"/>
      </rPr>
      <t>柱高</t>
    </r>
  </si>
  <si>
    <r>
      <rPr>
        <sz val="14"/>
        <color theme="1"/>
        <rFont val="標楷體"/>
        <family val="4"/>
        <charset val="136"/>
      </rPr>
      <t>骨架間距</t>
    </r>
  </si>
  <si>
    <r>
      <rPr>
        <sz val="14"/>
        <color theme="1"/>
        <rFont val="標楷體"/>
        <family val="4"/>
        <charset val="136"/>
      </rPr>
      <t>插入深度</t>
    </r>
  </si>
  <si>
    <r>
      <rPr>
        <sz val="14"/>
        <color theme="1"/>
        <rFont val="標楷體"/>
        <family val="4"/>
        <charset val="136"/>
      </rPr>
      <t>衍架直管</t>
    </r>
  </si>
  <si>
    <t>P-22.2 × 1.6 × 5200</t>
    <phoneticPr fontId="1" type="noConversion"/>
  </si>
  <si>
    <t>P-26.2 × 1.6 × 5850</t>
    <phoneticPr fontId="1" type="noConversion"/>
  </si>
  <si>
    <t>P-31.8 × 1.8 × 6200</t>
    <phoneticPr fontId="1" type="noConversion"/>
  </si>
  <si>
    <r>
      <rPr>
        <sz val="14"/>
        <color theme="1"/>
        <rFont val="標楷體"/>
        <family val="4"/>
        <charset val="136"/>
      </rPr>
      <t>拱架尺寸</t>
    </r>
    <r>
      <rPr>
        <sz val="14"/>
        <color theme="1"/>
        <rFont val="Times New Roman"/>
        <family val="1"/>
      </rPr>
      <t>(mm)</t>
    </r>
    <phoneticPr fontId="1" type="noConversion"/>
  </si>
  <si>
    <r>
      <rPr>
        <sz val="14"/>
        <color theme="1"/>
        <rFont val="Times New Roman"/>
        <family val="1"/>
      </rPr>
      <t>UTP-G9</t>
    </r>
    <r>
      <rPr>
        <sz val="14"/>
        <color theme="1"/>
        <rFont val="標楷體"/>
        <family val="4"/>
        <charset val="136"/>
      </rPr>
      <t>使用構件尺寸</t>
    </r>
    <phoneticPr fontId="1" type="noConversion"/>
  </si>
  <si>
    <t>溫室使用構件尺寸</t>
    <phoneticPr fontId="1" type="noConversion"/>
  </si>
  <si>
    <t>h</t>
  </si>
  <si>
    <t>GV1</t>
  </si>
  <si>
    <t>GV2</t>
  </si>
  <si>
    <t>GV3</t>
  </si>
  <si>
    <t>GV4</t>
  </si>
  <si>
    <t>GH1</t>
  </si>
  <si>
    <t>GH2</t>
  </si>
  <si>
    <t>GH3</t>
  </si>
  <si>
    <t>185±5</t>
  </si>
  <si>
    <t>100±10</t>
  </si>
  <si>
    <t>200±10</t>
  </si>
  <si>
    <t>250±10</t>
  </si>
  <si>
    <t>-</t>
  </si>
  <si>
    <t>50±10</t>
  </si>
  <si>
    <t>205±5</t>
  </si>
  <si>
    <t>270±10</t>
  </si>
  <si>
    <t>65±10</t>
  </si>
  <si>
    <t>P-31.8  × 1.8</t>
  </si>
  <si>
    <t>180±5</t>
  </si>
  <si>
    <t>260±10</t>
  </si>
  <si>
    <t>320±10</t>
  </si>
  <si>
    <r>
      <rPr>
        <sz val="14"/>
        <color theme="1"/>
        <rFont val="標楷體"/>
        <family val="4"/>
        <charset val="136"/>
      </rPr>
      <t>材料</t>
    </r>
  </si>
  <si>
    <t>山牆補強骨架間隔尺寸</t>
    <phoneticPr fontId="1" type="noConversion"/>
  </si>
  <si>
    <t>山牆立面圖</t>
    <phoneticPr fontId="1" type="noConversion"/>
  </si>
  <si>
    <t>H</t>
  </si>
  <si>
    <t>U</t>
  </si>
  <si>
    <t>B</t>
  </si>
  <si>
    <r>
      <rPr>
        <sz val="14"/>
        <color theme="1"/>
        <rFont val="標楷體"/>
        <family val="4"/>
        <charset val="136"/>
      </rPr>
      <t>代號</t>
    </r>
  </si>
  <si>
    <r>
      <rPr>
        <sz val="14"/>
        <color theme="1"/>
        <rFont val="標楷體"/>
        <family val="4"/>
        <charset val="136"/>
      </rPr>
      <t>總高</t>
    </r>
  </si>
  <si>
    <r>
      <rPr>
        <sz val="14"/>
        <color theme="1"/>
        <rFont val="標楷體"/>
        <family val="4"/>
        <charset val="136"/>
      </rPr>
      <t>埋土深度</t>
    </r>
  </si>
  <si>
    <r>
      <rPr>
        <sz val="14"/>
        <color theme="1"/>
        <rFont val="標楷體"/>
        <family val="4"/>
        <charset val="136"/>
      </rPr>
      <t>轉折處離地高</t>
    </r>
  </si>
  <si>
    <r>
      <rPr>
        <sz val="14"/>
        <color theme="1"/>
        <rFont val="標楷體"/>
        <family val="4"/>
        <charset val="136"/>
      </rPr>
      <t>溫室寬</t>
    </r>
  </si>
  <si>
    <r>
      <rPr>
        <sz val="14"/>
        <color theme="1"/>
        <rFont val="標楷體"/>
        <family val="4"/>
        <charset val="136"/>
      </rPr>
      <t>第一橫架高</t>
    </r>
  </si>
  <si>
    <r>
      <rPr>
        <sz val="14"/>
        <color theme="1"/>
        <rFont val="標楷體"/>
        <family val="4"/>
        <charset val="136"/>
      </rPr>
      <t>第二橫架高</t>
    </r>
  </si>
  <si>
    <r>
      <rPr>
        <sz val="14"/>
        <color theme="1"/>
        <rFont val="標楷體"/>
        <family val="4"/>
        <charset val="136"/>
      </rPr>
      <t>第三橫架高</t>
    </r>
  </si>
  <si>
    <r>
      <rPr>
        <sz val="14"/>
        <color theme="1"/>
        <rFont val="標楷體"/>
        <family val="4"/>
        <charset val="136"/>
      </rPr>
      <t>第四橫架高</t>
    </r>
  </si>
  <si>
    <r>
      <rPr>
        <sz val="14"/>
        <color theme="1"/>
        <rFont val="標楷體"/>
        <family val="4"/>
        <charset val="136"/>
      </rPr>
      <t>第一直樑距</t>
    </r>
  </si>
  <si>
    <r>
      <rPr>
        <sz val="14"/>
        <color theme="1"/>
        <rFont val="標楷體"/>
        <family val="4"/>
        <charset val="136"/>
      </rPr>
      <t>第二直樑距</t>
    </r>
  </si>
  <si>
    <r>
      <rPr>
        <sz val="14"/>
        <color theme="1"/>
        <rFont val="標楷體"/>
        <family val="4"/>
        <charset val="136"/>
      </rPr>
      <t>第三直樑距</t>
    </r>
  </si>
  <si>
    <t>說明</t>
    <phoneticPr fontId="1" type="noConversion"/>
  </si>
  <si>
    <t>東</t>
    <phoneticPr fontId="1" type="noConversion"/>
  </si>
  <si>
    <t>西</t>
    <phoneticPr fontId="1" type="noConversion"/>
  </si>
  <si>
    <t>南</t>
    <phoneticPr fontId="1" type="noConversion"/>
  </si>
  <si>
    <t>北</t>
    <phoneticPr fontId="1" type="noConversion"/>
  </si>
  <si>
    <r>
      <t>建物高度</t>
    </r>
    <r>
      <rPr>
        <sz val="14"/>
        <color theme="1"/>
        <rFont val="Times New Roman"/>
        <family val="1"/>
      </rPr>
      <t>(m)</t>
    </r>
    <phoneticPr fontId="1" type="noConversion"/>
  </si>
  <si>
    <t>風力級數影響</t>
    <phoneticPr fontId="1" type="noConversion"/>
  </si>
  <si>
    <t>建物影響耐風級數需求</t>
    <phoneticPr fontId="1" type="noConversion"/>
  </si>
  <si>
    <t>溫室形式</t>
    <phoneticPr fontId="1" type="noConversion"/>
  </si>
  <si>
    <t>耐風級數需求</t>
    <phoneticPr fontId="1" type="noConversion"/>
  </si>
  <si>
    <t>耐風級數需求</t>
    <phoneticPr fontId="1" type="noConversion"/>
  </si>
  <si>
    <t>編號</t>
    <phoneticPr fontId="1" type="noConversion"/>
  </si>
  <si>
    <r>
      <t>溫室總高</t>
    </r>
    <r>
      <rPr>
        <sz val="14"/>
        <rFont val="Times New Roman"/>
        <family val="1"/>
      </rPr>
      <t>(cm)</t>
    </r>
    <phoneticPr fontId="1" type="noConversion"/>
  </si>
  <si>
    <r>
      <t>立柱高</t>
    </r>
    <r>
      <rPr>
        <sz val="14"/>
        <rFont val="Times New Roman"/>
        <family val="1"/>
      </rPr>
      <t>(cm)</t>
    </r>
    <phoneticPr fontId="1" type="noConversion"/>
  </si>
  <si>
    <r>
      <t>屋頂高</t>
    </r>
    <r>
      <rPr>
        <sz val="14"/>
        <rFont val="Times New Roman"/>
        <family val="1"/>
      </rPr>
      <t>(cm)</t>
    </r>
    <phoneticPr fontId="1" type="noConversion"/>
  </si>
  <si>
    <r>
      <t>水溝寬度</t>
    </r>
    <r>
      <rPr>
        <sz val="14"/>
        <color theme="1"/>
        <rFont val="Times New Roman"/>
        <family val="1"/>
      </rPr>
      <t>(cm)</t>
    </r>
    <phoneticPr fontId="1" type="noConversion"/>
  </si>
  <si>
    <r>
      <t>桁架間距</t>
    </r>
    <r>
      <rPr>
        <sz val="14"/>
        <color theme="1"/>
        <rFont val="Times New Roman"/>
        <family val="1"/>
      </rPr>
      <t>(cm)</t>
    </r>
    <phoneticPr fontId="1" type="noConversion"/>
  </si>
  <si>
    <r>
      <t>山牆面桁架間距</t>
    </r>
    <r>
      <rPr>
        <sz val="14"/>
        <color theme="1"/>
        <rFont val="Times New Roman"/>
        <family val="1"/>
      </rPr>
      <t>(cm)</t>
    </r>
    <phoneticPr fontId="1" type="noConversion"/>
  </si>
  <si>
    <t>連棟數</t>
    <phoneticPr fontId="1" type="noConversion"/>
  </si>
  <si>
    <t>-</t>
    <phoneticPr fontId="1" type="noConversion"/>
  </si>
  <si>
    <r>
      <t>重量</t>
    </r>
    <r>
      <rPr>
        <sz val="14"/>
        <color theme="1"/>
        <rFont val="Times New Roman"/>
        <family val="1"/>
      </rPr>
      <t>(kg/m)</t>
    </r>
    <phoneticPr fontId="1" type="noConversion"/>
  </si>
  <si>
    <t>E101</t>
    <phoneticPr fontId="1" type="noConversion"/>
  </si>
  <si>
    <t>圓管</t>
    <phoneticPr fontId="1" type="noConversion"/>
  </si>
  <si>
    <t>方管</t>
    <phoneticPr fontId="1" type="noConversion"/>
  </si>
  <si>
    <t>E102</t>
    <phoneticPr fontId="1" type="noConversion"/>
  </si>
  <si>
    <r>
      <t>寬</t>
    </r>
    <r>
      <rPr>
        <sz val="14"/>
        <color theme="1"/>
        <rFont val="Times New Roman"/>
        <family val="1"/>
      </rPr>
      <t>(mm)</t>
    </r>
    <phoneticPr fontId="1" type="noConversion"/>
  </si>
  <si>
    <r>
      <t>腳</t>
    </r>
    <r>
      <rPr>
        <sz val="14"/>
        <color theme="1"/>
        <rFont val="Times New Roman"/>
        <family val="1"/>
      </rPr>
      <t>(mm)</t>
    </r>
    <phoneticPr fontId="1" type="noConversion"/>
  </si>
  <si>
    <r>
      <t>厚度</t>
    </r>
    <r>
      <rPr>
        <sz val="14"/>
        <color theme="1"/>
        <rFont val="Times New Roman"/>
        <family val="1"/>
      </rPr>
      <t>(mm)</t>
    </r>
    <phoneticPr fontId="1" type="noConversion"/>
  </si>
  <si>
    <r>
      <t>重量</t>
    </r>
    <r>
      <rPr>
        <sz val="14"/>
        <color theme="1"/>
        <rFont val="Times New Roman"/>
        <family val="1"/>
      </rPr>
      <t>(kg/m)</t>
    </r>
    <phoneticPr fontId="1" type="noConversion"/>
  </si>
  <si>
    <r>
      <t>截面積</t>
    </r>
    <r>
      <rPr>
        <sz val="14"/>
        <color theme="1"/>
        <rFont val="Times New Roman"/>
        <family val="1"/>
      </rPr>
      <t>(mm</t>
    </r>
    <r>
      <rPr>
        <vertAlign val="superscript"/>
        <sz val="14"/>
        <color theme="1"/>
        <rFont val="Times New Roman"/>
        <family val="1"/>
      </rPr>
      <t>2</t>
    </r>
    <r>
      <rPr>
        <sz val="14"/>
        <color theme="1"/>
        <rFont val="Times New Roman"/>
        <family val="1"/>
      </rPr>
      <t>)</t>
    </r>
    <phoneticPr fontId="1" type="noConversion"/>
  </si>
  <si>
    <t>E103</t>
  </si>
  <si>
    <t>E104</t>
  </si>
  <si>
    <t>圓管</t>
    <phoneticPr fontId="1" type="noConversion"/>
  </si>
  <si>
    <t>E201</t>
    <phoneticPr fontId="1" type="noConversion"/>
  </si>
  <si>
    <t>E202</t>
    <phoneticPr fontId="1" type="noConversion"/>
  </si>
  <si>
    <t>E203</t>
    <phoneticPr fontId="1" type="noConversion"/>
  </si>
  <si>
    <r>
      <rPr>
        <sz val="14"/>
        <color theme="1"/>
        <rFont val="Times New Roman"/>
        <family val="1"/>
      </rPr>
      <t>T</t>
    </r>
    <r>
      <rPr>
        <sz val="14"/>
        <color theme="1"/>
        <rFont val="標楷體"/>
        <family val="4"/>
        <charset val="136"/>
      </rPr>
      <t>形支架</t>
    </r>
    <phoneticPr fontId="1" type="noConversion"/>
  </si>
  <si>
    <t>(1-1/4")</t>
    <phoneticPr fontId="1" type="noConversion"/>
  </si>
  <si>
    <t>E204</t>
  </si>
  <si>
    <t>(1/2")</t>
    <phoneticPr fontId="1" type="noConversion"/>
  </si>
  <si>
    <t>E301</t>
    <phoneticPr fontId="1" type="noConversion"/>
  </si>
  <si>
    <t>E302</t>
    <phoneticPr fontId="1" type="noConversion"/>
  </si>
  <si>
    <r>
      <t>長</t>
    </r>
    <r>
      <rPr>
        <sz val="14"/>
        <color theme="1"/>
        <rFont val="Times New Roman"/>
        <family val="1"/>
      </rPr>
      <t>(mm)</t>
    </r>
    <phoneticPr fontId="1" type="noConversion"/>
  </si>
  <si>
    <r>
      <t>直徑</t>
    </r>
    <r>
      <rPr>
        <sz val="14"/>
        <color theme="1"/>
        <rFont val="Times New Roman"/>
        <family val="1"/>
      </rPr>
      <t>(mm)</t>
    </r>
    <phoneticPr fontId="1" type="noConversion"/>
  </si>
  <si>
    <t>E401</t>
    <phoneticPr fontId="1" type="noConversion"/>
  </si>
  <si>
    <r>
      <t>寬</t>
    </r>
    <r>
      <rPr>
        <sz val="14"/>
        <color theme="1"/>
        <rFont val="Times New Roman"/>
        <family val="1"/>
      </rPr>
      <t>(mm)</t>
    </r>
    <phoneticPr fontId="1" type="noConversion"/>
  </si>
  <si>
    <r>
      <t>腳</t>
    </r>
    <r>
      <rPr>
        <sz val="14"/>
        <color theme="1"/>
        <rFont val="Times New Roman"/>
        <family val="1"/>
      </rPr>
      <t>(mm)</t>
    </r>
    <phoneticPr fontId="1" type="noConversion"/>
  </si>
  <si>
    <r>
      <t>厚度</t>
    </r>
    <r>
      <rPr>
        <sz val="14"/>
        <color theme="1"/>
        <rFont val="Times New Roman"/>
        <family val="1"/>
      </rPr>
      <t>(mm)</t>
    </r>
    <phoneticPr fontId="1" type="noConversion"/>
  </si>
  <si>
    <r>
      <t>截面積</t>
    </r>
    <r>
      <rPr>
        <sz val="14"/>
        <color theme="1"/>
        <rFont val="Times New Roman"/>
        <family val="1"/>
      </rPr>
      <t>(mm</t>
    </r>
    <r>
      <rPr>
        <vertAlign val="superscript"/>
        <sz val="14"/>
        <color theme="1"/>
        <rFont val="Times New Roman"/>
        <family val="1"/>
      </rPr>
      <t>2</t>
    </r>
    <r>
      <rPr>
        <sz val="14"/>
        <color theme="1"/>
        <rFont val="Times New Roman"/>
        <family val="1"/>
      </rPr>
      <t>)</t>
    </r>
    <phoneticPr fontId="1" type="noConversion"/>
  </si>
  <si>
    <r>
      <t>重量</t>
    </r>
    <r>
      <rPr>
        <sz val="14"/>
        <color theme="1"/>
        <rFont val="Times New Roman"/>
        <family val="1"/>
      </rPr>
      <t>(kg/m)</t>
    </r>
    <phoneticPr fontId="1" type="noConversion"/>
  </si>
  <si>
    <r>
      <t>長</t>
    </r>
    <r>
      <rPr>
        <sz val="14"/>
        <color theme="1"/>
        <rFont val="Times New Roman"/>
        <family val="1"/>
      </rPr>
      <t>(mm)</t>
    </r>
    <phoneticPr fontId="1" type="noConversion"/>
  </si>
  <si>
    <r>
      <rPr>
        <sz val="14"/>
        <color theme="1"/>
        <rFont val="Times New Roman"/>
        <family val="1"/>
      </rPr>
      <t>H</t>
    </r>
    <r>
      <rPr>
        <sz val="14"/>
        <color theme="1"/>
        <rFont val="標楷體"/>
        <family val="4"/>
        <charset val="136"/>
      </rPr>
      <t>型鋼</t>
    </r>
    <phoneticPr fontId="1" type="noConversion"/>
  </si>
  <si>
    <r>
      <rPr>
        <sz val="14"/>
        <color theme="1"/>
        <rFont val="Times New Roman"/>
        <family val="1"/>
      </rPr>
      <t>C</t>
    </r>
    <r>
      <rPr>
        <sz val="14"/>
        <color theme="1"/>
        <rFont val="標楷體"/>
        <family val="4"/>
        <charset val="136"/>
      </rPr>
      <t>型鋼</t>
    </r>
    <phoneticPr fontId="1" type="noConversion"/>
  </si>
  <si>
    <r>
      <t>直徑</t>
    </r>
    <r>
      <rPr>
        <sz val="14"/>
        <color theme="1"/>
        <rFont val="Times New Roman"/>
        <family val="1"/>
      </rPr>
      <t>(mm)</t>
    </r>
    <phoneticPr fontId="1" type="noConversion"/>
  </si>
  <si>
    <t>E402</t>
    <phoneticPr fontId="1" type="noConversion"/>
  </si>
  <si>
    <t>E403</t>
    <phoneticPr fontId="1" type="noConversion"/>
  </si>
  <si>
    <t>E502</t>
    <phoneticPr fontId="1" type="noConversion"/>
  </si>
  <si>
    <t>E501</t>
    <phoneticPr fontId="1" type="noConversion"/>
  </si>
  <si>
    <r>
      <t>高</t>
    </r>
    <r>
      <rPr>
        <sz val="14"/>
        <color theme="1"/>
        <rFont val="Times New Roman"/>
        <family val="1"/>
      </rPr>
      <t>(mm)</t>
    </r>
    <phoneticPr fontId="1" type="noConversion"/>
  </si>
  <si>
    <t>-</t>
    <phoneticPr fontId="1" type="noConversion"/>
  </si>
  <si>
    <t>屋頂側樑</t>
    <phoneticPr fontId="1" type="noConversion"/>
  </si>
  <si>
    <r>
      <t>溫室面積</t>
    </r>
    <r>
      <rPr>
        <sz val="14"/>
        <rFont val="Times New Roman"/>
        <family val="1"/>
      </rPr>
      <t>(</t>
    </r>
    <r>
      <rPr>
        <sz val="14"/>
        <rFont val="標楷體"/>
        <family val="4"/>
        <charset val="136"/>
      </rPr>
      <t>坪</t>
    </r>
    <r>
      <rPr>
        <sz val="14"/>
        <rFont val="Times New Roman"/>
        <family val="1"/>
      </rPr>
      <t>)</t>
    </r>
    <phoneticPr fontId="1" type="noConversion"/>
  </si>
  <si>
    <t>客戶名稱</t>
    <phoneticPr fontId="1" type="noConversion"/>
  </si>
  <si>
    <t>連絡電話</t>
    <phoneticPr fontId="1" type="noConversion"/>
  </si>
  <si>
    <t>小番茄</t>
    <phoneticPr fontId="1" type="noConversion"/>
  </si>
  <si>
    <r>
      <t>元</t>
    </r>
    <r>
      <rPr>
        <sz val="14"/>
        <color theme="1"/>
        <rFont val="Times New Roman"/>
        <family val="1"/>
      </rPr>
      <t>/kg</t>
    </r>
    <phoneticPr fontId="1" type="noConversion"/>
  </si>
  <si>
    <r>
      <t>單棟溫室跨度</t>
    </r>
    <r>
      <rPr>
        <sz val="14"/>
        <color theme="1"/>
        <rFont val="Times New Roman"/>
        <family val="1"/>
      </rPr>
      <t>(cm)</t>
    </r>
    <phoneticPr fontId="1" type="noConversion"/>
  </si>
  <si>
    <r>
      <t>立柱高</t>
    </r>
    <r>
      <rPr>
        <sz val="14"/>
        <rFont val="Times New Roman"/>
        <family val="1"/>
      </rPr>
      <t>(cm)</t>
    </r>
    <phoneticPr fontId="1" type="noConversion"/>
  </si>
  <si>
    <r>
      <t>屋頂高</t>
    </r>
    <r>
      <rPr>
        <sz val="14"/>
        <rFont val="Times New Roman"/>
        <family val="1"/>
      </rPr>
      <t>(cm)</t>
    </r>
    <phoneticPr fontId="1" type="noConversion"/>
  </si>
  <si>
    <r>
      <t>桁架間距</t>
    </r>
    <r>
      <rPr>
        <sz val="14"/>
        <color theme="1"/>
        <rFont val="Times New Roman"/>
        <family val="1"/>
      </rPr>
      <t>(cm)</t>
    </r>
    <phoneticPr fontId="1" type="noConversion"/>
  </si>
  <si>
    <r>
      <t>山牆面桁架間距</t>
    </r>
    <r>
      <rPr>
        <sz val="14"/>
        <color theme="1"/>
        <rFont val="Times New Roman"/>
        <family val="1"/>
      </rPr>
      <t>(cm)</t>
    </r>
    <phoneticPr fontId="1" type="noConversion"/>
  </si>
  <si>
    <r>
      <rPr>
        <sz val="14"/>
        <color theme="1"/>
        <rFont val="Times New Roman"/>
        <family val="1"/>
      </rPr>
      <t>a.</t>
    </r>
    <r>
      <rPr>
        <sz val="14"/>
        <color theme="1"/>
        <rFont val="標楷體"/>
        <family val="4"/>
        <charset val="136"/>
      </rPr>
      <t>山牆面</t>
    </r>
    <r>
      <rPr>
        <sz val="14"/>
        <rFont val="標楷體"/>
        <family val="4"/>
        <charset val="136"/>
      </rPr>
      <t>構件數量</t>
    </r>
    <phoneticPr fontId="1" type="noConversion"/>
  </si>
  <si>
    <r>
      <t>長度</t>
    </r>
    <r>
      <rPr>
        <sz val="14"/>
        <color theme="1"/>
        <rFont val="Times New Roman"/>
        <family val="1"/>
      </rPr>
      <t>(cm)</t>
    </r>
    <phoneticPr fontId="1" type="noConversion"/>
  </si>
  <si>
    <r>
      <t>單排連棟重量</t>
    </r>
    <r>
      <rPr>
        <sz val="14"/>
        <color theme="1"/>
        <rFont val="Times New Roman"/>
        <family val="1"/>
      </rPr>
      <t>(kg)</t>
    </r>
    <phoneticPr fontId="1" type="noConversion"/>
  </si>
  <si>
    <r>
      <rPr>
        <sz val="14"/>
        <color theme="1"/>
        <rFont val="Times New Roman"/>
        <family val="1"/>
      </rPr>
      <t>b.</t>
    </r>
    <r>
      <rPr>
        <sz val="14"/>
        <color theme="1"/>
        <rFont val="標楷體"/>
        <family val="4"/>
        <charset val="136"/>
      </rPr>
      <t>桁架</t>
    </r>
    <r>
      <rPr>
        <sz val="14"/>
        <rFont val="標楷體"/>
        <family val="4"/>
        <charset val="136"/>
      </rPr>
      <t>構件數量</t>
    </r>
    <phoneticPr fontId="1" type="noConversion"/>
  </si>
  <si>
    <r>
      <rPr>
        <sz val="14"/>
        <color theme="1"/>
        <rFont val="Times New Roman"/>
        <family val="1"/>
      </rPr>
      <t>c.</t>
    </r>
    <r>
      <rPr>
        <sz val="14"/>
        <color theme="1"/>
        <rFont val="標楷體"/>
        <family val="4"/>
        <charset val="136"/>
      </rPr>
      <t>圓頂桁架</t>
    </r>
    <r>
      <rPr>
        <sz val="14"/>
        <rFont val="標楷體"/>
        <family val="4"/>
        <charset val="136"/>
      </rPr>
      <t>構件數量</t>
    </r>
    <phoneticPr fontId="1" type="noConversion"/>
  </si>
  <si>
    <r>
      <rPr>
        <sz val="14"/>
        <color theme="1"/>
        <rFont val="Times New Roman"/>
        <family val="1"/>
      </rPr>
      <t>d.</t>
    </r>
    <r>
      <rPr>
        <sz val="14"/>
        <color theme="1"/>
        <rFont val="標楷體"/>
        <family val="4"/>
        <charset val="136"/>
      </rPr>
      <t>溫室桁架連結構件數量</t>
    </r>
    <phoneticPr fontId="1" type="noConversion"/>
  </si>
  <si>
    <r>
      <t>溫室長度</t>
    </r>
    <r>
      <rPr>
        <sz val="14"/>
        <color theme="1"/>
        <rFont val="Times New Roman"/>
        <family val="1"/>
      </rPr>
      <t>(m)</t>
    </r>
    <phoneticPr fontId="1" type="noConversion"/>
  </si>
  <si>
    <t>構件編號</t>
    <phoneticPr fontId="1" type="noConversion"/>
  </si>
  <si>
    <t>E301</t>
    <phoneticPr fontId="1" type="noConversion"/>
  </si>
  <si>
    <t>E102</t>
    <phoneticPr fontId="1" type="noConversion"/>
  </si>
  <si>
    <t>圓頂支架</t>
    <phoneticPr fontId="1" type="noConversion"/>
  </si>
  <si>
    <t>E201</t>
    <phoneticPr fontId="1" type="noConversion"/>
  </si>
  <si>
    <t>E202</t>
    <phoneticPr fontId="1" type="noConversion"/>
  </si>
  <si>
    <t>E103</t>
    <phoneticPr fontId="1" type="noConversion"/>
  </si>
  <si>
    <t>E104</t>
    <phoneticPr fontId="1" type="noConversion"/>
  </si>
  <si>
    <t>E401</t>
    <phoneticPr fontId="1" type="noConversion"/>
  </si>
  <si>
    <t>E401</t>
    <phoneticPr fontId="1" type="noConversion"/>
  </si>
  <si>
    <t>E202</t>
    <phoneticPr fontId="1" type="noConversion"/>
  </si>
  <si>
    <t>E501</t>
    <phoneticPr fontId="1" type="noConversion"/>
  </si>
  <si>
    <t>溫室耐風壓需求</t>
    <phoneticPr fontId="1" type="noConversion"/>
  </si>
  <si>
    <r>
      <t>溫室</t>
    </r>
    <r>
      <rPr>
        <sz val="14"/>
        <color theme="1"/>
        <rFont val="Times New Roman"/>
        <family val="1"/>
      </rPr>
      <t>Google</t>
    </r>
    <r>
      <rPr>
        <sz val="14"/>
        <color theme="1"/>
        <rFont val="標楷體"/>
        <family val="4"/>
        <charset val="136"/>
      </rPr>
      <t>地圖位置</t>
    </r>
    <phoneticPr fontId="1" type="noConversion"/>
  </si>
  <si>
    <t>溫室規格資料</t>
    <phoneticPr fontId="1" type="noConversion"/>
  </si>
  <si>
    <r>
      <t>寬</t>
    </r>
    <r>
      <rPr>
        <sz val="14"/>
        <color theme="1"/>
        <rFont val="Times New Roman"/>
        <family val="1"/>
      </rPr>
      <t>(m)</t>
    </r>
    <phoneticPr fontId="1" type="noConversion"/>
  </si>
  <si>
    <r>
      <t>長</t>
    </r>
    <r>
      <rPr>
        <sz val="14"/>
        <color theme="1"/>
        <rFont val="Times New Roman"/>
        <family val="1"/>
      </rPr>
      <t>(m)</t>
    </r>
    <phoneticPr fontId="1" type="noConversion"/>
  </si>
  <si>
    <t>溫室配件資料</t>
    <phoneticPr fontId="1" type="noConversion"/>
  </si>
  <si>
    <r>
      <t>溫室單棟跨距</t>
    </r>
    <r>
      <rPr>
        <sz val="14"/>
        <color theme="1"/>
        <rFont val="Times New Roman"/>
        <family val="1"/>
      </rPr>
      <t>(cm)</t>
    </r>
    <phoneticPr fontId="1" type="noConversion"/>
  </si>
  <si>
    <t>面積(坪)</t>
    <phoneticPr fontId="1" type="noConversion"/>
  </si>
  <si>
    <r>
      <t>面積</t>
    </r>
    <r>
      <rPr>
        <sz val="14"/>
        <color theme="1"/>
        <rFont val="Times New Roman"/>
        <family val="1"/>
      </rPr>
      <t>(</t>
    </r>
    <r>
      <rPr>
        <sz val="14"/>
        <color theme="1"/>
        <rFont val="標楷體"/>
        <family val="4"/>
        <charset val="136"/>
      </rPr>
      <t>坪</t>
    </r>
    <r>
      <rPr>
        <sz val="14"/>
        <color theme="1"/>
        <rFont val="Times New Roman"/>
        <family val="1"/>
      </rPr>
      <t>)</t>
    </r>
    <phoneticPr fontId="1" type="noConversion"/>
  </si>
  <si>
    <t>圓頂力霸塑膠型溫室</t>
    <phoneticPr fontId="1" type="noConversion"/>
  </si>
  <si>
    <t>-</t>
    <phoneticPr fontId="1" type="noConversion"/>
  </si>
  <si>
    <t>構件材料成本</t>
    <phoneticPr fontId="1" type="noConversion"/>
  </si>
  <si>
    <t>耐風級數</t>
    <phoneticPr fontId="1" type="noConversion"/>
  </si>
  <si>
    <t>地錨排數</t>
    <phoneticPr fontId="1" type="noConversion"/>
  </si>
  <si>
    <r>
      <t>地錨間距</t>
    </r>
    <r>
      <rPr>
        <sz val="14"/>
        <rFont val="Times New Roman"/>
        <family val="1"/>
      </rPr>
      <t>(cm)</t>
    </r>
    <phoneticPr fontId="1" type="noConversion"/>
  </si>
  <si>
    <t>SC1</t>
    <phoneticPr fontId="1" type="noConversion"/>
  </si>
  <si>
    <t>SB2</t>
    <phoneticPr fontId="1" type="noConversion"/>
  </si>
  <si>
    <t>SC2</t>
    <phoneticPr fontId="1" type="noConversion"/>
  </si>
  <si>
    <t>SC3</t>
    <phoneticPr fontId="1" type="noConversion"/>
  </si>
  <si>
    <t>SB1</t>
    <phoneticPr fontId="1" type="noConversion"/>
  </si>
  <si>
    <t>SB3</t>
    <phoneticPr fontId="1" type="noConversion"/>
  </si>
  <si>
    <t>SC1</t>
    <phoneticPr fontId="1" type="noConversion"/>
  </si>
  <si>
    <r>
      <t>立柱</t>
    </r>
    <r>
      <rPr>
        <sz val="14"/>
        <color theme="1"/>
        <rFont val="Times New Roman"/>
        <family val="1"/>
      </rPr>
      <t>1</t>
    </r>
    <phoneticPr fontId="1" type="noConversion"/>
  </si>
  <si>
    <r>
      <t>立柱</t>
    </r>
    <r>
      <rPr>
        <sz val="14"/>
        <color theme="1"/>
        <rFont val="Times New Roman"/>
        <family val="1"/>
      </rPr>
      <t>2</t>
    </r>
    <phoneticPr fontId="1" type="noConversion"/>
  </si>
  <si>
    <r>
      <t>立柱</t>
    </r>
    <r>
      <rPr>
        <sz val="14"/>
        <color theme="1"/>
        <rFont val="Times New Roman"/>
        <family val="1"/>
      </rPr>
      <t>3</t>
    </r>
    <phoneticPr fontId="1" type="noConversion"/>
  </si>
  <si>
    <t>橫樑</t>
    <phoneticPr fontId="1" type="noConversion"/>
  </si>
  <si>
    <t>SB2</t>
    <phoneticPr fontId="1" type="noConversion"/>
  </si>
  <si>
    <t>邊立柱</t>
    <phoneticPr fontId="1" type="noConversion"/>
  </si>
  <si>
    <r>
      <rPr>
        <sz val="14"/>
        <color theme="1"/>
        <rFont val="Times New Roman"/>
        <family val="1"/>
      </rPr>
      <t>T</t>
    </r>
    <r>
      <rPr>
        <sz val="14"/>
        <color theme="1"/>
        <rFont val="標楷體"/>
        <family val="4"/>
        <charset val="136"/>
      </rPr>
      <t>形支架橫桿</t>
    </r>
    <phoneticPr fontId="1" type="noConversion"/>
  </si>
  <si>
    <r>
      <rPr>
        <sz val="14"/>
        <color theme="1"/>
        <rFont val="Times New Roman"/>
        <family val="1"/>
      </rPr>
      <t>T</t>
    </r>
    <r>
      <rPr>
        <sz val="14"/>
        <color theme="1"/>
        <rFont val="標楷體"/>
        <family val="4"/>
        <charset val="136"/>
      </rPr>
      <t>形支架連接桿</t>
    </r>
    <phoneticPr fontId="1" type="noConversion"/>
  </si>
  <si>
    <r>
      <rPr>
        <sz val="14"/>
        <color theme="1"/>
        <rFont val="Times New Roman"/>
        <family val="1"/>
      </rPr>
      <t>T</t>
    </r>
    <r>
      <rPr>
        <sz val="14"/>
        <color theme="1"/>
        <rFont val="標楷體"/>
        <family val="4"/>
        <charset val="136"/>
      </rPr>
      <t>形支架直桿</t>
    </r>
    <phoneticPr fontId="1" type="noConversion"/>
  </si>
  <si>
    <t>側連接桿</t>
    <phoneticPr fontId="1" type="noConversion"/>
  </si>
  <si>
    <t>SB1</t>
    <phoneticPr fontId="1" type="noConversion"/>
  </si>
  <si>
    <t>SC3</t>
    <phoneticPr fontId="1" type="noConversion"/>
  </si>
  <si>
    <r>
      <rPr>
        <b/>
        <sz val="14"/>
        <color rgb="FF00B050"/>
        <rFont val="Times New Roman"/>
        <family val="1"/>
      </rPr>
      <t>B</t>
    </r>
    <r>
      <rPr>
        <b/>
        <sz val="14"/>
        <color rgb="FF00B050"/>
        <rFont val="標楷體"/>
        <family val="4"/>
        <charset val="136"/>
      </rPr>
      <t>型簡易型溫室</t>
    </r>
    <phoneticPr fontId="1" type="noConversion"/>
  </si>
  <si>
    <t>溫室周遭方位</t>
    <phoneticPr fontId="1" type="noConversion"/>
  </si>
  <si>
    <t>圓管件</t>
  </si>
  <si>
    <t>管件外徑尺寸</t>
    <phoneticPr fontId="1" type="noConversion"/>
  </si>
  <si>
    <r>
      <rPr>
        <sz val="14"/>
        <color theme="1"/>
        <rFont val="Times New Roman"/>
        <family val="1"/>
      </rPr>
      <t>1-1/4"</t>
    </r>
    <r>
      <rPr>
        <sz val="14"/>
        <color theme="1"/>
        <rFont val="標楷體"/>
        <family val="4"/>
        <charset val="136"/>
      </rPr>
      <t>圓管</t>
    </r>
    <phoneticPr fontId="1" type="noConversion"/>
  </si>
  <si>
    <r>
      <rPr>
        <sz val="14"/>
        <color theme="1"/>
        <rFont val="Times New Roman"/>
        <family val="1"/>
      </rPr>
      <t>1"</t>
    </r>
    <r>
      <rPr>
        <sz val="14"/>
        <color theme="1"/>
        <rFont val="標楷體"/>
        <family val="4"/>
        <charset val="136"/>
      </rPr>
      <t>圓管</t>
    </r>
    <phoneticPr fontId="1" type="noConversion"/>
  </si>
  <si>
    <r>
      <t>長度</t>
    </r>
    <r>
      <rPr>
        <sz val="14"/>
        <color theme="1"/>
        <rFont val="Times New Roman"/>
        <family val="1"/>
      </rPr>
      <t>(cm)</t>
    </r>
    <phoneticPr fontId="1" type="noConversion"/>
  </si>
  <si>
    <r>
      <t>數量</t>
    </r>
    <r>
      <rPr>
        <sz val="14"/>
        <color theme="1"/>
        <rFont val="Times New Roman"/>
        <family val="1"/>
      </rPr>
      <t>(</t>
    </r>
    <r>
      <rPr>
        <sz val="14"/>
        <color theme="1"/>
        <rFont val="標楷體"/>
        <family val="4"/>
        <charset val="136"/>
      </rPr>
      <t>支</t>
    </r>
    <r>
      <rPr>
        <sz val="14"/>
        <color theme="1"/>
        <rFont val="Times New Roman"/>
        <family val="1"/>
      </rPr>
      <t>)</t>
    </r>
    <phoneticPr fontId="1" type="noConversion"/>
  </si>
  <si>
    <r>
      <rPr>
        <sz val="14"/>
        <color theme="1"/>
        <rFont val="Times New Roman"/>
        <family val="1"/>
      </rPr>
      <t>3/4"</t>
    </r>
    <r>
      <rPr>
        <sz val="14"/>
        <color theme="1"/>
        <rFont val="標楷體"/>
        <family val="4"/>
        <charset val="136"/>
      </rPr>
      <t>圓管</t>
    </r>
    <phoneticPr fontId="1" type="noConversion"/>
  </si>
  <si>
    <t>內棚架工管類及配件</t>
  </si>
  <si>
    <r>
      <rPr>
        <b/>
        <sz val="14"/>
        <color rgb="FF0000FF"/>
        <rFont val="Times New Roman"/>
        <family val="1"/>
      </rPr>
      <t>B</t>
    </r>
    <r>
      <rPr>
        <b/>
        <sz val="14"/>
        <color rgb="FF0000FF"/>
        <rFont val="標楷體"/>
        <family val="4"/>
        <charset val="136"/>
      </rPr>
      <t>型簡易型溫室</t>
    </r>
    <phoneticPr fontId="1" type="noConversion"/>
  </si>
  <si>
    <t>名稱</t>
    <phoneticPr fontId="1" type="noConversion"/>
  </si>
  <si>
    <t>白鐵</t>
    <phoneticPr fontId="1" type="noConversion"/>
  </si>
  <si>
    <t>壓條材質</t>
    <phoneticPr fontId="1" type="noConversion"/>
  </si>
  <si>
    <r>
      <t>圓頂壓條</t>
    </r>
    <r>
      <rPr>
        <sz val="14"/>
        <color theme="1"/>
        <rFont val="Times New Roman"/>
        <family val="1"/>
      </rPr>
      <t/>
    </r>
    <phoneticPr fontId="1" type="noConversion"/>
  </si>
  <si>
    <r>
      <t>側樑壓條</t>
    </r>
    <r>
      <rPr>
        <sz val="14"/>
        <color theme="1"/>
        <rFont val="Times New Roman"/>
        <family val="1"/>
      </rPr>
      <t/>
    </r>
    <phoneticPr fontId="1" type="noConversion"/>
  </si>
  <si>
    <r>
      <t>山牆面壓條</t>
    </r>
    <r>
      <rPr>
        <sz val="14"/>
        <color theme="1"/>
        <rFont val="Times New Roman"/>
        <family val="1"/>
      </rPr>
      <t/>
    </r>
    <phoneticPr fontId="1" type="noConversion"/>
  </si>
  <si>
    <t>壓條數量統計</t>
    <phoneticPr fontId="1" type="noConversion"/>
  </si>
  <si>
    <t>配件名稱</t>
    <phoneticPr fontId="1" type="noConversion"/>
  </si>
  <si>
    <t>水槽</t>
    <phoneticPr fontId="1" type="noConversion"/>
  </si>
  <si>
    <t>鋼夾材質</t>
    <phoneticPr fontId="1" type="noConversion"/>
  </si>
  <si>
    <t>地錨</t>
    <phoneticPr fontId="1" type="noConversion"/>
  </si>
  <si>
    <r>
      <t>數量</t>
    </r>
    <r>
      <rPr>
        <sz val="14"/>
        <color theme="1"/>
        <rFont val="Times New Roman"/>
        <family val="1"/>
      </rPr>
      <t/>
    </r>
    <phoneticPr fontId="1" type="noConversion"/>
  </si>
  <si>
    <r>
      <rPr>
        <b/>
        <sz val="14"/>
        <color theme="1"/>
        <rFont val="Times New Roman"/>
        <family val="1"/>
      </rPr>
      <t>1-1/4"</t>
    </r>
    <r>
      <rPr>
        <b/>
        <sz val="14"/>
        <color theme="1"/>
        <rFont val="標楷體"/>
        <family val="4"/>
        <charset val="136"/>
      </rPr>
      <t>圓管總支數</t>
    </r>
    <phoneticPr fontId="1" type="noConversion"/>
  </si>
  <si>
    <r>
      <rPr>
        <b/>
        <sz val="14"/>
        <color theme="1"/>
        <rFont val="Times New Roman"/>
        <family val="1"/>
      </rPr>
      <t>3/4"</t>
    </r>
    <r>
      <rPr>
        <b/>
        <sz val="14"/>
        <color theme="1"/>
        <rFont val="標楷體"/>
        <family val="4"/>
        <charset val="136"/>
      </rPr>
      <t>圓管總支數</t>
    </r>
    <phoneticPr fontId="1" type="noConversion"/>
  </si>
  <si>
    <r>
      <rPr>
        <b/>
        <sz val="14"/>
        <color theme="1"/>
        <rFont val="Times New Roman"/>
        <family val="1"/>
      </rPr>
      <t>1"</t>
    </r>
    <r>
      <rPr>
        <b/>
        <sz val="14"/>
        <color theme="1"/>
        <rFont val="標楷體"/>
        <family val="4"/>
        <charset val="136"/>
      </rPr>
      <t>圓管總支數</t>
    </r>
    <phoneticPr fontId="1" type="noConversion"/>
  </si>
  <si>
    <r>
      <rPr>
        <b/>
        <sz val="14"/>
        <color theme="1"/>
        <rFont val="Times New Roman"/>
        <family val="1"/>
      </rPr>
      <t>1/2"</t>
    </r>
    <r>
      <rPr>
        <b/>
        <sz val="14"/>
        <color theme="1"/>
        <rFont val="標楷體"/>
        <family val="4"/>
        <charset val="136"/>
      </rPr>
      <t>圓管總支數</t>
    </r>
    <phoneticPr fontId="1" type="noConversion"/>
  </si>
  <si>
    <t>壓條材質</t>
    <phoneticPr fontId="1" type="noConversion"/>
  </si>
  <si>
    <r>
      <t>長度</t>
    </r>
    <r>
      <rPr>
        <sz val="14"/>
        <color theme="1"/>
        <rFont val="Times New Roman"/>
        <family val="1"/>
      </rPr>
      <t>(</t>
    </r>
    <r>
      <rPr>
        <sz val="14"/>
        <color theme="1"/>
        <rFont val="標楷體"/>
        <family val="4"/>
        <charset val="136"/>
      </rPr>
      <t>尺</t>
    </r>
    <r>
      <rPr>
        <sz val="14"/>
        <color theme="1"/>
        <rFont val="Times New Roman"/>
        <family val="1"/>
      </rPr>
      <t>)</t>
    </r>
    <phoneticPr fontId="1" type="noConversion"/>
  </si>
  <si>
    <r>
      <rPr>
        <b/>
        <sz val="14"/>
        <color theme="1"/>
        <rFont val="Times New Roman"/>
        <family val="1"/>
      </rPr>
      <t>16</t>
    </r>
    <r>
      <rPr>
        <b/>
        <sz val="14"/>
        <color theme="1"/>
        <rFont val="標楷體"/>
        <family val="4"/>
        <charset val="136"/>
      </rPr>
      <t>目網</t>
    </r>
    <r>
      <rPr>
        <b/>
        <sz val="14"/>
        <color theme="1"/>
        <rFont val="Times New Roman"/>
        <family val="1"/>
      </rPr>
      <t>(38</t>
    </r>
    <r>
      <rPr>
        <b/>
        <sz val="14"/>
        <color theme="1"/>
        <rFont val="標楷體"/>
        <family val="4"/>
        <charset val="136"/>
      </rPr>
      <t>尺</t>
    </r>
    <r>
      <rPr>
        <b/>
        <sz val="14"/>
        <color theme="1"/>
        <rFont val="Times New Roman"/>
        <family val="1"/>
      </rPr>
      <t>)</t>
    </r>
    <phoneticPr fontId="1" type="noConversion"/>
  </si>
  <si>
    <t>遮陽網</t>
    <phoneticPr fontId="1" type="noConversion"/>
  </si>
  <si>
    <t>網目名稱</t>
    <phoneticPr fontId="1" type="noConversion"/>
  </si>
  <si>
    <t>塑膠布</t>
    <phoneticPr fontId="1" type="noConversion"/>
  </si>
  <si>
    <t>頂布</t>
    <phoneticPr fontId="1" type="noConversion"/>
  </si>
  <si>
    <r>
      <t>寬度</t>
    </r>
    <r>
      <rPr>
        <sz val="14"/>
        <color theme="1"/>
        <rFont val="Times New Roman"/>
        <family val="1"/>
      </rPr>
      <t>(</t>
    </r>
    <r>
      <rPr>
        <sz val="14"/>
        <color theme="1"/>
        <rFont val="標楷體"/>
        <family val="4"/>
        <charset val="136"/>
      </rPr>
      <t>尺</t>
    </r>
    <r>
      <rPr>
        <sz val="14"/>
        <color theme="1"/>
        <rFont val="Times New Roman"/>
        <family val="1"/>
      </rPr>
      <t>)</t>
    </r>
    <phoneticPr fontId="1" type="noConversion"/>
  </si>
  <si>
    <t>側邊捲揚布</t>
    <phoneticPr fontId="1" type="noConversion"/>
  </si>
  <si>
    <t>封頭布</t>
    <phoneticPr fontId="1" type="noConversion"/>
  </si>
  <si>
    <t>包角布</t>
    <phoneticPr fontId="1" type="noConversion"/>
  </si>
  <si>
    <t>天窗防風布</t>
    <phoneticPr fontId="1" type="noConversion"/>
  </si>
  <si>
    <r>
      <rPr>
        <b/>
        <sz val="14"/>
        <color theme="1"/>
        <rFont val="Times New Roman"/>
        <family val="1"/>
      </rPr>
      <t>32</t>
    </r>
    <r>
      <rPr>
        <b/>
        <sz val="14"/>
        <color theme="1"/>
        <rFont val="標楷體"/>
        <family val="4"/>
        <charset val="136"/>
      </rPr>
      <t>目網</t>
    </r>
    <r>
      <rPr>
        <b/>
        <sz val="14"/>
        <color theme="1"/>
        <rFont val="Times New Roman"/>
        <family val="1"/>
      </rPr>
      <t>(3</t>
    </r>
    <r>
      <rPr>
        <b/>
        <sz val="14"/>
        <color theme="1"/>
        <rFont val="標楷體"/>
        <family val="4"/>
        <charset val="136"/>
      </rPr>
      <t>尺</t>
    </r>
    <r>
      <rPr>
        <b/>
        <sz val="14"/>
        <color theme="1"/>
        <rFont val="Times New Roman"/>
        <family val="1"/>
      </rPr>
      <t>)</t>
    </r>
    <phoneticPr fontId="1" type="noConversion"/>
  </si>
  <si>
    <r>
      <rPr>
        <b/>
        <sz val="14"/>
        <color theme="1"/>
        <rFont val="Times New Roman"/>
        <family val="1"/>
      </rPr>
      <t>32</t>
    </r>
    <r>
      <rPr>
        <b/>
        <sz val="14"/>
        <color theme="1"/>
        <rFont val="標楷體"/>
        <family val="4"/>
        <charset val="136"/>
      </rPr>
      <t>目網</t>
    </r>
    <r>
      <rPr>
        <b/>
        <sz val="14"/>
        <color theme="1"/>
        <rFont val="Times New Roman"/>
        <family val="1"/>
      </rPr>
      <t>(1</t>
    </r>
    <r>
      <rPr>
        <b/>
        <sz val="14"/>
        <color theme="1"/>
        <rFont val="標楷體"/>
        <family val="4"/>
        <charset val="136"/>
      </rPr>
      <t>尺</t>
    </r>
    <r>
      <rPr>
        <b/>
        <sz val="14"/>
        <color theme="1"/>
        <rFont val="Times New Roman"/>
        <family val="1"/>
      </rPr>
      <t>) (</t>
    </r>
    <r>
      <rPr>
        <b/>
        <sz val="14"/>
        <color theme="1"/>
        <rFont val="標楷體"/>
        <family val="4"/>
        <charset val="136"/>
      </rPr>
      <t>單位:</t>
    </r>
    <r>
      <rPr>
        <b/>
        <sz val="14"/>
        <color theme="1"/>
        <rFont val="Times New Roman"/>
        <family val="1"/>
      </rPr>
      <t>m)</t>
    </r>
    <phoneticPr fontId="1" type="noConversion"/>
  </si>
  <si>
    <r>
      <rPr>
        <b/>
        <sz val="14"/>
        <color theme="1"/>
        <rFont val="Times New Roman"/>
        <family val="1"/>
      </rPr>
      <t>50</t>
    </r>
    <r>
      <rPr>
        <b/>
        <sz val="14"/>
        <color theme="1"/>
        <rFont val="標楷體"/>
        <family val="4"/>
        <charset val="136"/>
      </rPr>
      <t>目網</t>
    </r>
    <r>
      <rPr>
        <b/>
        <sz val="14"/>
        <color theme="1"/>
        <rFont val="Times New Roman"/>
        <family val="1"/>
      </rPr>
      <t>(11.5</t>
    </r>
    <r>
      <rPr>
        <b/>
        <sz val="14"/>
        <color theme="1"/>
        <rFont val="標楷體"/>
        <family val="4"/>
        <charset val="136"/>
      </rPr>
      <t>尺</t>
    </r>
    <r>
      <rPr>
        <b/>
        <sz val="14"/>
        <color theme="1"/>
        <rFont val="Times New Roman"/>
        <family val="1"/>
      </rPr>
      <t>)</t>
    </r>
    <phoneticPr fontId="1" type="noConversion"/>
  </si>
  <si>
    <r>
      <rPr>
        <sz val="14"/>
        <color theme="1"/>
        <rFont val="Times New Roman"/>
        <family val="1"/>
      </rPr>
      <t>50</t>
    </r>
    <r>
      <rPr>
        <sz val="14"/>
        <color theme="1"/>
        <rFont val="標楷體"/>
        <family val="4"/>
        <charset val="136"/>
      </rPr>
      <t>目網</t>
    </r>
    <r>
      <rPr>
        <sz val="14"/>
        <color theme="1"/>
        <rFont val="Times New Roman"/>
        <family val="1"/>
      </rPr>
      <t>(22</t>
    </r>
    <r>
      <rPr>
        <sz val="14"/>
        <color theme="1"/>
        <rFont val="標楷體"/>
        <family val="4"/>
        <charset val="136"/>
      </rPr>
      <t>尺</t>
    </r>
    <r>
      <rPr>
        <sz val="14"/>
        <color theme="1"/>
        <rFont val="Times New Roman"/>
        <family val="1"/>
      </rPr>
      <t>)</t>
    </r>
    <phoneticPr fontId="1" type="noConversion"/>
  </si>
  <si>
    <r>
      <rPr>
        <sz val="14"/>
        <color theme="1"/>
        <rFont val="Times New Roman"/>
        <family val="1"/>
      </rPr>
      <t>50</t>
    </r>
    <r>
      <rPr>
        <sz val="14"/>
        <color theme="1"/>
        <rFont val="標楷體"/>
        <family val="4"/>
        <charset val="136"/>
      </rPr>
      <t>目網</t>
    </r>
    <r>
      <rPr>
        <sz val="14"/>
        <color theme="1"/>
        <rFont val="Times New Roman"/>
        <family val="1"/>
      </rPr>
      <t>(10</t>
    </r>
    <r>
      <rPr>
        <sz val="14"/>
        <color theme="1"/>
        <rFont val="標楷體"/>
        <family val="4"/>
        <charset val="136"/>
      </rPr>
      <t>尺</t>
    </r>
    <r>
      <rPr>
        <sz val="14"/>
        <color theme="1"/>
        <rFont val="Times New Roman"/>
        <family val="1"/>
      </rPr>
      <t>)</t>
    </r>
    <phoneticPr fontId="1" type="noConversion"/>
  </si>
  <si>
    <t>捲揚器</t>
    <phoneticPr fontId="1" type="noConversion"/>
  </si>
  <si>
    <t>備註</t>
    <phoneticPr fontId="1" type="noConversion"/>
  </si>
  <si>
    <t>水溝業主自挖</t>
    <phoneticPr fontId="1" type="noConversion"/>
  </si>
  <si>
    <t>溫室</t>
    <phoneticPr fontId="1" type="noConversion"/>
  </si>
  <si>
    <r>
      <t>單棟溫室跨距</t>
    </r>
    <r>
      <rPr>
        <sz val="14"/>
        <rFont val="Times New Roman"/>
        <family val="1"/>
      </rPr>
      <t>(cm)</t>
    </r>
    <phoneticPr fontId="1" type="noConversion"/>
  </si>
  <si>
    <r>
      <rPr>
        <b/>
        <sz val="14"/>
        <color rgb="FF00B050"/>
        <rFont val="Times New Roman"/>
        <family val="1"/>
      </rPr>
      <t>C</t>
    </r>
    <r>
      <rPr>
        <b/>
        <sz val="14"/>
        <color rgb="FF00B050"/>
        <rFont val="標楷體"/>
        <family val="4"/>
        <charset val="136"/>
      </rPr>
      <t>型簡易型溫室</t>
    </r>
    <phoneticPr fontId="1" type="noConversion"/>
  </si>
  <si>
    <t>600~690</t>
    <phoneticPr fontId="1" type="noConversion"/>
  </si>
  <si>
    <t>700~810</t>
    <phoneticPr fontId="1" type="noConversion"/>
  </si>
  <si>
    <t>820~900</t>
    <phoneticPr fontId="1" type="noConversion"/>
  </si>
  <si>
    <r>
      <t>立柱高</t>
    </r>
    <r>
      <rPr>
        <sz val="14"/>
        <rFont val="Times New Roman"/>
        <family val="1"/>
      </rPr>
      <t>(cm)</t>
    </r>
    <phoneticPr fontId="1" type="noConversion"/>
  </si>
  <si>
    <r>
      <t>實際跨距</t>
    </r>
    <r>
      <rPr>
        <sz val="14"/>
        <rFont val="Times New Roman"/>
        <family val="1"/>
      </rPr>
      <t>(cm)</t>
    </r>
    <phoneticPr fontId="1" type="noConversion"/>
  </si>
  <si>
    <r>
      <t>實際總高</t>
    </r>
    <r>
      <rPr>
        <sz val="14"/>
        <rFont val="Times New Roman"/>
        <family val="1"/>
      </rPr>
      <t>(cm)</t>
    </r>
    <phoneticPr fontId="1" type="noConversion"/>
  </si>
  <si>
    <t>480~510</t>
    <phoneticPr fontId="1" type="noConversion"/>
  </si>
  <si>
    <t>上橫樑</t>
    <phoneticPr fontId="1" type="noConversion"/>
  </si>
  <si>
    <t>SB1</t>
    <phoneticPr fontId="1" type="noConversion"/>
  </si>
  <si>
    <r>
      <rPr>
        <b/>
        <sz val="14"/>
        <color rgb="FF0000FF"/>
        <rFont val="Times New Roman"/>
        <family val="1"/>
      </rPr>
      <t>C</t>
    </r>
    <r>
      <rPr>
        <b/>
        <sz val="14"/>
        <color rgb="FF0000FF"/>
        <rFont val="標楷體"/>
        <family val="4"/>
        <charset val="136"/>
      </rPr>
      <t>型簡易型溫室</t>
    </r>
    <phoneticPr fontId="1" type="noConversion"/>
  </si>
  <si>
    <r>
      <rPr>
        <b/>
        <sz val="14"/>
        <color rgb="FF00B050"/>
        <rFont val="Times New Roman"/>
        <family val="1"/>
      </rPr>
      <t>A</t>
    </r>
    <r>
      <rPr>
        <b/>
        <sz val="14"/>
        <color rgb="FF00B050"/>
        <rFont val="標楷體"/>
        <family val="4"/>
        <charset val="136"/>
      </rPr>
      <t>型簡易型溫室</t>
    </r>
    <phoneticPr fontId="1" type="noConversion"/>
  </si>
  <si>
    <t>SC2</t>
    <phoneticPr fontId="1" type="noConversion"/>
  </si>
  <si>
    <t>SB3</t>
    <phoneticPr fontId="1" type="noConversion"/>
  </si>
  <si>
    <t>圓頂連接桿</t>
    <phoneticPr fontId="1" type="noConversion"/>
  </si>
  <si>
    <r>
      <rPr>
        <b/>
        <sz val="14"/>
        <color rgb="FF0000FF"/>
        <rFont val="Times New Roman"/>
        <family val="1"/>
      </rPr>
      <t>A</t>
    </r>
    <r>
      <rPr>
        <b/>
        <sz val="14"/>
        <color rgb="FF0000FF"/>
        <rFont val="標楷體"/>
        <family val="4"/>
        <charset val="136"/>
      </rPr>
      <t>型簡易型溫室</t>
    </r>
    <phoneticPr fontId="1" type="noConversion"/>
  </si>
  <si>
    <r>
      <rPr>
        <sz val="14"/>
        <color theme="1"/>
        <rFont val="Times New Roman"/>
        <family val="1"/>
      </rPr>
      <t>1"</t>
    </r>
    <r>
      <rPr>
        <sz val="14"/>
        <color theme="1"/>
        <rFont val="標楷體"/>
        <family val="4"/>
        <charset val="136"/>
      </rPr>
      <t>圓管</t>
    </r>
    <phoneticPr fontId="1" type="noConversion"/>
  </si>
  <si>
    <r>
      <rPr>
        <b/>
        <sz val="14"/>
        <color theme="1"/>
        <rFont val="Times New Roman"/>
        <family val="1"/>
      </rPr>
      <t>1"</t>
    </r>
    <r>
      <rPr>
        <b/>
        <sz val="14"/>
        <color theme="1"/>
        <rFont val="標楷體"/>
        <family val="4"/>
        <charset val="136"/>
      </rPr>
      <t>圓管總支數</t>
    </r>
    <phoneticPr fontId="1" type="noConversion"/>
  </si>
  <si>
    <r>
      <rPr>
        <sz val="14"/>
        <color theme="1"/>
        <rFont val="Times New Roman"/>
        <family val="1"/>
      </rPr>
      <t>1/2"</t>
    </r>
    <r>
      <rPr>
        <sz val="14"/>
        <color theme="1"/>
        <rFont val="標楷體"/>
        <family val="4"/>
        <charset val="136"/>
      </rPr>
      <t>圓管</t>
    </r>
    <phoneticPr fontId="1" type="noConversion"/>
  </si>
  <si>
    <t>C1</t>
  </si>
  <si>
    <t>µm/yr</t>
  </si>
  <si>
    <t>可忽視</t>
  </si>
  <si>
    <t>－</t>
  </si>
  <si>
    <t>C2</t>
  </si>
  <si>
    <t>C3</t>
  </si>
  <si>
    <t>C4</t>
  </si>
  <si>
    <t>C5</t>
  </si>
  <si>
    <r>
      <t xml:space="preserve">γcorr </t>
    </r>
    <r>
      <rPr>
        <sz val="14"/>
        <color theme="1"/>
        <rFont val="Symbol"/>
        <family val="1"/>
        <charset val="2"/>
      </rPr>
      <t>£</t>
    </r>
    <r>
      <rPr>
        <sz val="14"/>
        <color theme="1"/>
        <rFont val="Times New Roman"/>
        <family val="1"/>
      </rPr>
      <t xml:space="preserve"> 10</t>
    </r>
  </si>
  <si>
    <r>
      <t xml:space="preserve">γcorr </t>
    </r>
    <r>
      <rPr>
        <sz val="14"/>
        <color theme="1"/>
        <rFont val="Symbol"/>
        <family val="1"/>
        <charset val="2"/>
      </rPr>
      <t>£</t>
    </r>
    <r>
      <rPr>
        <sz val="14"/>
        <color theme="1"/>
        <rFont val="Times New Roman"/>
        <family val="1"/>
      </rPr>
      <t xml:space="preserve"> 0.7</t>
    </r>
  </si>
  <si>
    <r>
      <t xml:space="preserve">γcorr </t>
    </r>
    <r>
      <rPr>
        <sz val="14"/>
        <color theme="1"/>
        <rFont val="Symbol"/>
        <family val="1"/>
        <charset val="2"/>
      </rPr>
      <t>£</t>
    </r>
    <r>
      <rPr>
        <sz val="14"/>
        <color theme="1"/>
        <rFont val="Times New Roman"/>
        <family val="1"/>
      </rPr>
      <t xml:space="preserve"> 0.9</t>
    </r>
  </si>
  <si>
    <r>
      <t xml:space="preserve">γcorr </t>
    </r>
    <r>
      <rPr>
        <sz val="14"/>
        <color theme="1"/>
        <rFont val="Symbol"/>
        <family val="1"/>
        <charset val="2"/>
      </rPr>
      <t>£</t>
    </r>
    <r>
      <rPr>
        <sz val="14"/>
        <color theme="1"/>
        <rFont val="Times New Roman"/>
        <family val="1"/>
      </rPr>
      <t xml:space="preserve"> 1.3</t>
    </r>
  </si>
  <si>
    <r>
      <t xml:space="preserve">γcorr </t>
    </r>
    <r>
      <rPr>
        <sz val="14"/>
        <color theme="1"/>
        <rFont val="Symbol"/>
        <family val="1"/>
        <charset val="2"/>
      </rPr>
      <t>£</t>
    </r>
    <r>
      <rPr>
        <sz val="14"/>
        <color theme="1"/>
        <rFont val="Times New Roman"/>
        <family val="1"/>
      </rPr>
      <t xml:space="preserve"> 0.1</t>
    </r>
  </si>
  <si>
    <r>
      <t xml:space="preserve">10 </t>
    </r>
    <r>
      <rPr>
        <sz val="14"/>
        <color theme="1"/>
        <rFont val="Symbol"/>
        <family val="1"/>
        <charset val="2"/>
      </rPr>
      <t>£</t>
    </r>
    <r>
      <rPr>
        <sz val="14"/>
        <color theme="1"/>
        <rFont val="Times New Roman"/>
        <family val="1"/>
      </rPr>
      <t xml:space="preserve"> γcorr </t>
    </r>
    <r>
      <rPr>
        <sz val="14"/>
        <color theme="1"/>
        <rFont val="Symbol"/>
        <family val="1"/>
        <charset val="2"/>
      </rPr>
      <t>£</t>
    </r>
    <r>
      <rPr>
        <sz val="14"/>
        <color theme="1"/>
        <rFont val="Times New Roman"/>
        <family val="1"/>
      </rPr>
      <t xml:space="preserve"> 200</t>
    </r>
  </si>
  <si>
    <r>
      <t xml:space="preserve">0.7 &lt; γcorr </t>
    </r>
    <r>
      <rPr>
        <sz val="14"/>
        <color theme="1"/>
        <rFont val="Symbol"/>
        <family val="1"/>
        <charset val="2"/>
      </rPr>
      <t>£</t>
    </r>
    <r>
      <rPr>
        <sz val="14"/>
        <color theme="1"/>
        <rFont val="Times New Roman"/>
        <family val="1"/>
      </rPr>
      <t xml:space="preserve"> 5</t>
    </r>
  </si>
  <si>
    <r>
      <t xml:space="preserve">0.9 &lt; γcorr </t>
    </r>
    <r>
      <rPr>
        <sz val="14"/>
        <color theme="1"/>
        <rFont val="Symbol"/>
        <family val="1"/>
        <charset val="2"/>
      </rPr>
      <t>£</t>
    </r>
    <r>
      <rPr>
        <sz val="14"/>
        <color theme="1"/>
        <rFont val="Times New Roman"/>
        <family val="1"/>
      </rPr>
      <t xml:space="preserve"> 5</t>
    </r>
  </si>
  <si>
    <r>
      <t xml:space="preserve">γcorr </t>
    </r>
    <r>
      <rPr>
        <sz val="14"/>
        <color theme="1"/>
        <rFont val="Symbol"/>
        <family val="1"/>
        <charset val="2"/>
      </rPr>
      <t>£</t>
    </r>
    <r>
      <rPr>
        <sz val="14"/>
        <color theme="1"/>
        <rFont val="Times New Roman"/>
        <family val="1"/>
      </rPr>
      <t xml:space="preserve"> 0.6</t>
    </r>
  </si>
  <si>
    <r>
      <t xml:space="preserve">1.3 </t>
    </r>
    <r>
      <rPr>
        <sz val="14"/>
        <color theme="1"/>
        <rFont val="Symbol"/>
        <family val="1"/>
        <charset val="2"/>
      </rPr>
      <t>£</t>
    </r>
    <r>
      <rPr>
        <sz val="14"/>
        <color theme="1"/>
        <rFont val="Times New Roman"/>
        <family val="1"/>
      </rPr>
      <t xml:space="preserve"> γcorr </t>
    </r>
    <r>
      <rPr>
        <sz val="14"/>
        <color theme="1"/>
        <rFont val="Symbol"/>
        <family val="1"/>
        <charset val="2"/>
      </rPr>
      <t>£</t>
    </r>
    <r>
      <rPr>
        <sz val="14"/>
        <color theme="1"/>
        <rFont val="Times New Roman"/>
        <family val="1"/>
      </rPr>
      <t xml:space="preserve"> 25</t>
    </r>
  </si>
  <si>
    <r>
      <t xml:space="preserve">0.1 &lt; γcorr </t>
    </r>
    <r>
      <rPr>
        <sz val="14"/>
        <color theme="1"/>
        <rFont val="Symbol"/>
        <family val="1"/>
        <charset val="2"/>
      </rPr>
      <t>£</t>
    </r>
    <r>
      <rPr>
        <sz val="14"/>
        <color theme="1"/>
        <rFont val="Times New Roman"/>
        <family val="1"/>
      </rPr>
      <t xml:space="preserve"> 0.7</t>
    </r>
  </si>
  <si>
    <r>
      <t xml:space="preserve">0.1 &lt; γcorr </t>
    </r>
    <r>
      <rPr>
        <sz val="14"/>
        <color theme="1"/>
        <rFont val="Symbol"/>
        <family val="1"/>
        <charset val="2"/>
      </rPr>
      <t>£</t>
    </r>
    <r>
      <rPr>
        <sz val="14"/>
        <color theme="1"/>
        <rFont val="Times New Roman"/>
        <family val="1"/>
      </rPr>
      <t xml:space="preserve"> 0.6</t>
    </r>
  </si>
  <si>
    <r>
      <t xml:space="preserve">200 &lt; γcorr </t>
    </r>
    <r>
      <rPr>
        <sz val="14"/>
        <color theme="1"/>
        <rFont val="Symbol"/>
        <family val="1"/>
        <charset val="2"/>
      </rPr>
      <t>£</t>
    </r>
    <r>
      <rPr>
        <sz val="14"/>
        <color theme="1"/>
        <rFont val="Times New Roman"/>
        <family val="1"/>
      </rPr>
      <t xml:space="preserve"> 400</t>
    </r>
  </si>
  <si>
    <r>
      <t xml:space="preserve">5 &lt; γcorr </t>
    </r>
    <r>
      <rPr>
        <sz val="14"/>
        <color theme="1"/>
        <rFont val="Symbol"/>
        <family val="1"/>
        <charset val="2"/>
      </rPr>
      <t>£</t>
    </r>
    <r>
      <rPr>
        <sz val="14"/>
        <color theme="1"/>
        <rFont val="Times New Roman"/>
        <family val="1"/>
      </rPr>
      <t xml:space="preserve"> 15</t>
    </r>
  </si>
  <si>
    <r>
      <t xml:space="preserve">5 &lt; γcorr </t>
    </r>
    <r>
      <rPr>
        <sz val="14"/>
        <color theme="1"/>
        <rFont val="Symbol"/>
        <family val="1"/>
        <charset val="2"/>
      </rPr>
      <t>£</t>
    </r>
    <r>
      <rPr>
        <sz val="14"/>
        <color theme="1"/>
        <rFont val="Times New Roman"/>
        <family val="1"/>
      </rPr>
      <t xml:space="preserve"> 12</t>
    </r>
  </si>
  <si>
    <r>
      <t xml:space="preserve">0.6 &lt; γcorr </t>
    </r>
    <r>
      <rPr>
        <sz val="14"/>
        <color theme="1"/>
        <rFont val="Symbol"/>
        <family val="1"/>
        <charset val="2"/>
      </rPr>
      <t>£</t>
    </r>
    <r>
      <rPr>
        <sz val="14"/>
        <color theme="1"/>
        <rFont val="Times New Roman"/>
        <family val="1"/>
      </rPr>
      <t xml:space="preserve"> 2</t>
    </r>
  </si>
  <si>
    <r>
      <t xml:space="preserve">25 &lt; γcorr </t>
    </r>
    <r>
      <rPr>
        <sz val="14"/>
        <color theme="1"/>
        <rFont val="Symbol"/>
        <family val="1"/>
        <charset val="2"/>
      </rPr>
      <t>£</t>
    </r>
    <r>
      <rPr>
        <sz val="14"/>
        <color theme="1"/>
        <rFont val="Times New Roman"/>
        <family val="1"/>
      </rPr>
      <t xml:space="preserve"> 50</t>
    </r>
  </si>
  <si>
    <r>
      <t xml:space="preserve">0.7 &lt; γcorr </t>
    </r>
    <r>
      <rPr>
        <sz val="14"/>
        <color theme="1"/>
        <rFont val="Symbol"/>
        <family val="1"/>
        <charset val="2"/>
      </rPr>
      <t>£</t>
    </r>
    <r>
      <rPr>
        <sz val="14"/>
        <color theme="1"/>
        <rFont val="Times New Roman"/>
        <family val="1"/>
      </rPr>
      <t xml:space="preserve"> 2.1</t>
    </r>
  </si>
  <si>
    <r>
      <t xml:space="preserve">0.6 &lt; γcorr </t>
    </r>
    <r>
      <rPr>
        <sz val="14"/>
        <color theme="1"/>
        <rFont val="Symbol"/>
        <family val="1"/>
        <charset val="2"/>
      </rPr>
      <t>£</t>
    </r>
    <r>
      <rPr>
        <sz val="14"/>
        <color theme="1"/>
        <rFont val="Times New Roman"/>
        <family val="1"/>
      </rPr>
      <t xml:space="preserve"> 1.3</t>
    </r>
  </si>
  <si>
    <r>
      <t xml:space="preserve">400 &lt; γcorr </t>
    </r>
    <r>
      <rPr>
        <sz val="14"/>
        <color theme="1"/>
        <rFont val="Symbol"/>
        <family val="1"/>
        <charset val="2"/>
      </rPr>
      <t>£</t>
    </r>
    <r>
      <rPr>
        <sz val="14"/>
        <color theme="1"/>
        <rFont val="Times New Roman"/>
        <family val="1"/>
      </rPr>
      <t xml:space="preserve"> 650</t>
    </r>
  </si>
  <si>
    <r>
      <t xml:space="preserve">15 &lt; γcorr </t>
    </r>
    <r>
      <rPr>
        <sz val="14"/>
        <color theme="1"/>
        <rFont val="Symbol"/>
        <family val="1"/>
        <charset val="2"/>
      </rPr>
      <t>£</t>
    </r>
    <r>
      <rPr>
        <sz val="14"/>
        <color theme="1"/>
        <rFont val="Times New Roman"/>
        <family val="1"/>
      </rPr>
      <t xml:space="preserve"> 30</t>
    </r>
  </si>
  <si>
    <r>
      <t xml:space="preserve">12 &lt; γcorr </t>
    </r>
    <r>
      <rPr>
        <sz val="14"/>
        <color theme="1"/>
        <rFont val="Symbol"/>
        <family val="1"/>
        <charset val="2"/>
      </rPr>
      <t>£</t>
    </r>
    <r>
      <rPr>
        <sz val="14"/>
        <color theme="1"/>
        <rFont val="Times New Roman"/>
        <family val="1"/>
      </rPr>
      <t xml:space="preserve"> 25</t>
    </r>
  </si>
  <si>
    <r>
      <t xml:space="preserve">2 &lt; γcorr </t>
    </r>
    <r>
      <rPr>
        <sz val="14"/>
        <color theme="1"/>
        <rFont val="Symbol"/>
        <family val="1"/>
        <charset val="2"/>
      </rPr>
      <t>£</t>
    </r>
    <r>
      <rPr>
        <sz val="14"/>
        <color theme="1"/>
        <rFont val="Times New Roman"/>
        <family val="1"/>
      </rPr>
      <t xml:space="preserve"> 5</t>
    </r>
  </si>
  <si>
    <r>
      <t xml:space="preserve">50 &lt; γcorr </t>
    </r>
    <r>
      <rPr>
        <sz val="14"/>
        <color theme="1"/>
        <rFont val="Symbol"/>
        <family val="1"/>
        <charset val="2"/>
      </rPr>
      <t>£</t>
    </r>
    <r>
      <rPr>
        <sz val="14"/>
        <color theme="1"/>
        <rFont val="Times New Roman"/>
        <family val="1"/>
      </rPr>
      <t xml:space="preserve"> 80</t>
    </r>
  </si>
  <si>
    <r>
      <t xml:space="preserve">2.1 &lt; γcorr </t>
    </r>
    <r>
      <rPr>
        <sz val="14"/>
        <color theme="1"/>
        <rFont val="Symbol"/>
        <family val="1"/>
        <charset val="2"/>
      </rPr>
      <t>£</t>
    </r>
    <r>
      <rPr>
        <sz val="14"/>
        <color theme="1"/>
        <rFont val="Times New Roman"/>
        <family val="1"/>
      </rPr>
      <t xml:space="preserve"> 4.2</t>
    </r>
  </si>
  <si>
    <r>
      <t xml:space="preserve">1.3 &lt; γcorr </t>
    </r>
    <r>
      <rPr>
        <sz val="14"/>
        <color theme="1"/>
        <rFont val="Symbol"/>
        <family val="1"/>
        <charset val="2"/>
      </rPr>
      <t>£</t>
    </r>
    <r>
      <rPr>
        <sz val="14"/>
        <color theme="1"/>
        <rFont val="Times New Roman"/>
        <family val="1"/>
      </rPr>
      <t xml:space="preserve"> 2.8</t>
    </r>
  </si>
  <si>
    <r>
      <t xml:space="preserve">650 &lt; γcorr </t>
    </r>
    <r>
      <rPr>
        <sz val="14"/>
        <color theme="1"/>
        <rFont val="Symbol"/>
        <family val="1"/>
        <charset val="2"/>
      </rPr>
      <t>£</t>
    </r>
    <r>
      <rPr>
        <sz val="14"/>
        <color theme="1"/>
        <rFont val="Times New Roman"/>
        <family val="1"/>
      </rPr>
      <t xml:space="preserve"> 1500</t>
    </r>
  </si>
  <si>
    <r>
      <t xml:space="preserve">30 &lt; γcorr </t>
    </r>
    <r>
      <rPr>
        <sz val="14"/>
        <color theme="1"/>
        <rFont val="Symbol"/>
        <family val="1"/>
        <charset val="2"/>
      </rPr>
      <t>£</t>
    </r>
    <r>
      <rPr>
        <sz val="14"/>
        <color theme="1"/>
        <rFont val="Times New Roman"/>
        <family val="1"/>
      </rPr>
      <t xml:space="preserve"> 60</t>
    </r>
  </si>
  <si>
    <r>
      <t xml:space="preserve">5 &lt; γcorr </t>
    </r>
    <r>
      <rPr>
        <sz val="14"/>
        <color theme="1"/>
        <rFont val="Symbol"/>
        <family val="1"/>
        <charset val="2"/>
      </rPr>
      <t>£</t>
    </r>
    <r>
      <rPr>
        <sz val="14"/>
        <color theme="1"/>
        <rFont val="Times New Roman"/>
        <family val="1"/>
      </rPr>
      <t xml:space="preserve"> 10</t>
    </r>
  </si>
  <si>
    <r>
      <t xml:space="preserve">80 &lt; γcorr </t>
    </r>
    <r>
      <rPr>
        <sz val="14"/>
        <color theme="1"/>
        <rFont val="Symbol"/>
        <family val="1"/>
        <charset val="2"/>
      </rPr>
      <t>£</t>
    </r>
    <r>
      <rPr>
        <sz val="14"/>
        <color theme="1"/>
        <rFont val="Times New Roman"/>
        <family val="1"/>
      </rPr>
      <t xml:space="preserve"> 200</t>
    </r>
  </si>
  <si>
    <r>
      <t xml:space="preserve">4.2 &lt; γcorr </t>
    </r>
    <r>
      <rPr>
        <sz val="14"/>
        <color theme="1"/>
        <rFont val="Symbol"/>
        <family val="1"/>
        <charset val="2"/>
      </rPr>
      <t>£</t>
    </r>
    <r>
      <rPr>
        <sz val="14"/>
        <color theme="1"/>
        <rFont val="Times New Roman"/>
        <family val="1"/>
      </rPr>
      <t xml:space="preserve"> 8.4</t>
    </r>
  </si>
  <si>
    <r>
      <t xml:space="preserve">2.8 &lt; γcorr </t>
    </r>
    <r>
      <rPr>
        <sz val="14"/>
        <color theme="1"/>
        <rFont val="Symbol"/>
        <family val="1"/>
        <charset val="2"/>
      </rPr>
      <t>£</t>
    </r>
    <r>
      <rPr>
        <sz val="14"/>
        <color theme="1"/>
        <rFont val="Times New Roman"/>
        <family val="1"/>
      </rPr>
      <t xml:space="preserve"> 5.6</t>
    </r>
  </si>
  <si>
    <r>
      <rPr>
        <sz val="14"/>
        <color theme="1"/>
        <rFont val="標楷體"/>
        <family val="4"/>
        <charset val="136"/>
      </rPr>
      <t>單位</t>
    </r>
  </si>
  <si>
    <r>
      <rPr>
        <sz val="14"/>
        <color theme="1"/>
        <rFont val="標楷體"/>
        <family val="4"/>
        <charset val="136"/>
      </rPr>
      <t>碳鋼</t>
    </r>
  </si>
  <si>
    <r>
      <rPr>
        <sz val="14"/>
        <color theme="1"/>
        <rFont val="標楷體"/>
        <family val="4"/>
        <charset val="136"/>
      </rPr>
      <t>鋅</t>
    </r>
  </si>
  <si>
    <r>
      <rPr>
        <sz val="14"/>
        <color theme="1"/>
        <rFont val="標楷體"/>
        <family val="4"/>
        <charset val="136"/>
      </rPr>
      <t>銅</t>
    </r>
  </si>
  <si>
    <r>
      <rPr>
        <sz val="14"/>
        <color theme="1"/>
        <rFont val="標楷體"/>
        <family val="4"/>
        <charset val="136"/>
      </rPr>
      <t>鋁</t>
    </r>
  </si>
  <si>
    <t>腐蝕速率 (γcorr)</t>
    <phoneticPr fontId="1" type="noConversion"/>
  </si>
  <si>
    <t>C1</t>
    <phoneticPr fontId="1" type="noConversion"/>
  </si>
  <si>
    <t>C2</t>
    <phoneticPr fontId="1" type="noConversion"/>
  </si>
  <si>
    <t>作業環境判斷</t>
    <phoneticPr fontId="1" type="noConversion"/>
  </si>
  <si>
    <t>腐蝕環境判斷</t>
    <phoneticPr fontId="1" type="noConversion"/>
  </si>
  <si>
    <t>金屬在不同區域之腐蝕速率表</t>
    <phoneticPr fontId="1" type="noConversion"/>
  </si>
  <si>
    <r>
      <t>g/m</t>
    </r>
    <r>
      <rPr>
        <vertAlign val="superscript"/>
        <sz val="14"/>
        <color theme="1"/>
        <rFont val="Times New Roman"/>
        <family val="1"/>
      </rPr>
      <t>2</t>
    </r>
    <r>
      <rPr>
        <sz val="14"/>
        <color theme="1"/>
        <rFont val="Times New Roman"/>
        <family val="1"/>
      </rPr>
      <t xml:space="preserve"> /yr</t>
    </r>
    <phoneticPr fontId="1" type="noConversion"/>
  </si>
  <si>
    <t>環境說明</t>
    <phoneticPr fontId="1" type="noConversion"/>
  </si>
  <si>
    <t>腐蝕性非常低</t>
  </si>
  <si>
    <t>腐蝕性低</t>
    <phoneticPr fontId="1" type="noConversion"/>
  </si>
  <si>
    <t>腐蝕性中等</t>
    <phoneticPr fontId="1" type="noConversion"/>
  </si>
  <si>
    <t>腐蝕性高</t>
    <phoneticPr fontId="1" type="noConversion"/>
  </si>
  <si>
    <t>腐蝕性非常高</t>
    <phoneticPr fontId="1" type="noConversion"/>
  </si>
  <si>
    <t>腐蝕性說明</t>
    <phoneticPr fontId="1" type="noConversion"/>
  </si>
  <si>
    <t>腐蝕性分類</t>
    <phoneticPr fontId="1" type="noConversion"/>
  </si>
  <si>
    <t>大氣腐蝕性定義:根據標準金屬試片在某環境中進行自然暴露，並以最初第一年的腐蝕率大小來決定大氣腐蝕環境分類。</t>
    <phoneticPr fontId="1" type="noConversion"/>
  </si>
  <si>
    <t>台灣沿海地區</t>
    <phoneticPr fontId="1" type="noConversion"/>
  </si>
  <si>
    <t>臺灣西部大甲溪以南(如台中市至台南市)</t>
    <phoneticPr fontId="1" type="noConversion"/>
  </si>
  <si>
    <t xml:space="preserve">臺灣西部大甲溪以北地區(如通霄以北之苗栗、新竹、桃園、台北市)及高雄市與屏東恆春。
</t>
    <phoneticPr fontId="1" type="noConversion"/>
  </si>
  <si>
    <t>碳鋼、鋅、銅、鋁金屬之大氣腐蝕分類等位圖</t>
    <phoneticPr fontId="1" type="noConversion"/>
  </si>
  <si>
    <t>台灣山區</t>
    <phoneticPr fontId="1" type="noConversion"/>
  </si>
  <si>
    <t>台灣山區乾燥地域</t>
    <phoneticPr fontId="1" type="noConversion"/>
  </si>
  <si>
    <t>南投縣</t>
    <phoneticPr fontId="1" type="noConversion"/>
  </si>
  <si>
    <t>沿海</t>
    <phoneticPr fontId="1" type="noConversion"/>
  </si>
  <si>
    <t>溫室所在縣市</t>
    <phoneticPr fontId="1" type="noConversion"/>
  </si>
  <si>
    <t>溫室所在縣市腐蝕性分類</t>
    <phoneticPr fontId="1" type="noConversion"/>
  </si>
  <si>
    <t>溫室所在地點</t>
    <phoneticPr fontId="1" type="noConversion"/>
  </si>
  <si>
    <t>平原</t>
    <phoneticPr fontId="1" type="noConversion"/>
  </si>
  <si>
    <t>郊區</t>
    <phoneticPr fontId="1" type="noConversion"/>
  </si>
  <si>
    <t>溫室所在地點</t>
    <phoneticPr fontId="1" type="noConversion"/>
  </si>
  <si>
    <t>地點</t>
    <phoneticPr fontId="1" type="noConversion"/>
  </si>
  <si>
    <t>腐蝕性加乘</t>
    <phoneticPr fontId="1" type="noConversion"/>
  </si>
  <si>
    <t>地點腐蝕性分類</t>
    <phoneticPr fontId="1" type="noConversion"/>
  </si>
  <si>
    <t>等級</t>
    <phoneticPr fontId="1" type="noConversion"/>
  </si>
  <si>
    <r>
      <t>鍍鋅層厚度</t>
    </r>
    <r>
      <rPr>
        <sz val="14"/>
        <color theme="1"/>
        <rFont val="Times New Roman"/>
        <family val="1"/>
      </rPr>
      <t>(μm)</t>
    </r>
    <phoneticPr fontId="1" type="noConversion"/>
  </si>
  <si>
    <r>
      <t>塗層厚度</t>
    </r>
    <r>
      <rPr>
        <sz val="14"/>
        <color theme="1"/>
        <rFont val="Times New Roman"/>
        <family val="1"/>
      </rPr>
      <t>(μm)</t>
    </r>
    <phoneticPr fontId="1" type="noConversion"/>
  </si>
  <si>
    <t>原型</t>
    <phoneticPr fontId="1" type="noConversion"/>
  </si>
  <si>
    <t>強化</t>
    <phoneticPr fontId="1" type="noConversion"/>
  </si>
  <si>
    <t>輕量化</t>
    <phoneticPr fontId="1" type="noConversion"/>
  </si>
  <si>
    <t>溫室耐風等級</t>
    <phoneticPr fontId="1" type="noConversion"/>
  </si>
  <si>
    <t xml:space="preserve"> 溫室結構選擇</t>
    <phoneticPr fontId="1" type="noConversion"/>
  </si>
  <si>
    <t>原型</t>
    <phoneticPr fontId="1" type="noConversion"/>
  </si>
  <si>
    <t>強化</t>
    <phoneticPr fontId="1" type="noConversion"/>
  </si>
  <si>
    <t>輕量化</t>
    <phoneticPr fontId="1" type="noConversion"/>
  </si>
  <si>
    <t>溫室結構代號</t>
    <phoneticPr fontId="1" type="noConversion"/>
  </si>
  <si>
    <t>代號</t>
    <phoneticPr fontId="1" type="noConversion"/>
  </si>
  <si>
    <t>耐風增強係數</t>
    <phoneticPr fontId="1" type="noConversion"/>
  </si>
  <si>
    <t>最大陣風(級風)</t>
    <phoneticPr fontId="1" type="noConversion"/>
  </si>
  <si>
    <t>最大雨量</t>
    <phoneticPr fontId="1" type="noConversion"/>
  </si>
  <si>
    <t>八掌溪</t>
    <phoneticPr fontId="1" type="noConversion"/>
  </si>
  <si>
    <t>客戶名稱</t>
    <phoneticPr fontId="1" type="noConversion"/>
  </si>
  <si>
    <t>連絡電話</t>
    <phoneticPr fontId="1" type="noConversion"/>
  </si>
  <si>
    <t>輕量化</t>
  </si>
  <si>
    <t>B2</t>
    <phoneticPr fontId="1" type="noConversion"/>
  </si>
  <si>
    <t>B1</t>
    <phoneticPr fontId="1" type="noConversion"/>
  </si>
  <si>
    <t>0936432078</t>
    <phoneticPr fontId="1" type="noConversion"/>
  </si>
  <si>
    <t>白鐵</t>
  </si>
  <si>
    <t>有</t>
  </si>
  <si>
    <t>無</t>
  </si>
  <si>
    <t>北</t>
  </si>
  <si>
    <t>嘉義縣</t>
  </si>
  <si>
    <t>草木作業系統</t>
    <phoneticPr fontId="1" type="noConversion"/>
  </si>
  <si>
    <t>南</t>
    <phoneticPr fontId="1" type="noConversion"/>
  </si>
  <si>
    <t>北</t>
    <phoneticPr fontId="1" type="noConversion"/>
  </si>
  <si>
    <t>四周</t>
    <phoneticPr fontId="1" type="noConversion"/>
  </si>
  <si>
    <t>無</t>
    <phoneticPr fontId="1" type="noConversion"/>
  </si>
  <si>
    <t>淡水河</t>
    <phoneticPr fontId="1" type="noConversion"/>
  </si>
  <si>
    <t>南崁溪</t>
    <phoneticPr fontId="1" type="noConversion"/>
  </si>
  <si>
    <t>頭前溪</t>
    <phoneticPr fontId="1" type="noConversion"/>
  </si>
  <si>
    <t>大安溪</t>
    <phoneticPr fontId="1" type="noConversion"/>
  </si>
  <si>
    <t>大甲溪</t>
    <phoneticPr fontId="1" type="noConversion"/>
  </si>
  <si>
    <t>濁水溪</t>
    <phoneticPr fontId="1" type="noConversion"/>
  </si>
  <si>
    <t>曾文溪</t>
    <phoneticPr fontId="1" type="noConversion"/>
  </si>
  <si>
    <t>高屏溪</t>
    <phoneticPr fontId="1" type="noConversion"/>
  </si>
  <si>
    <t>鳳山溪</t>
    <phoneticPr fontId="1" type="noConversion"/>
  </si>
  <si>
    <t>烏溪</t>
    <phoneticPr fontId="1" type="noConversion"/>
  </si>
  <si>
    <t>基隆河</t>
    <phoneticPr fontId="1" type="noConversion"/>
  </si>
  <si>
    <t>花蓮溪</t>
    <phoneticPr fontId="1" type="noConversion"/>
  </si>
  <si>
    <t>卑南溪</t>
    <phoneticPr fontId="1" type="noConversion"/>
  </si>
  <si>
    <t>B241</t>
    <phoneticPr fontId="1" type="noConversion"/>
  </si>
  <si>
    <t>B242</t>
    <phoneticPr fontId="1" type="noConversion"/>
  </si>
  <si>
    <t>溫室標準型資料庫</t>
    <phoneticPr fontId="1" type="noConversion"/>
  </si>
  <si>
    <t>溫室專業型資料庫</t>
    <phoneticPr fontId="1" type="noConversion"/>
  </si>
  <si>
    <t>簡易型規範</t>
    <phoneticPr fontId="1" type="noConversion"/>
  </si>
  <si>
    <t>精密型溫室</t>
    <phoneticPr fontId="1" type="noConversion"/>
  </si>
  <si>
    <t>圓頂力霸型規範</t>
    <phoneticPr fontId="1" type="noConversion"/>
  </si>
  <si>
    <t>力霸型溫室</t>
    <phoneticPr fontId="1" type="noConversion"/>
  </si>
  <si>
    <t>B322</t>
    <phoneticPr fontId="1" type="noConversion"/>
  </si>
  <si>
    <t>颱風侵襲路徑分析</t>
    <phoneticPr fontId="1" type="noConversion"/>
  </si>
  <si>
    <t>溫室環境腐蝕分析</t>
    <phoneticPr fontId="1" type="noConversion"/>
  </si>
  <si>
    <t>地形地貌分析</t>
    <phoneticPr fontId="1" type="noConversion"/>
  </si>
  <si>
    <t>B311</t>
    <phoneticPr fontId="1" type="noConversion"/>
  </si>
  <si>
    <t>B312</t>
    <phoneticPr fontId="1" type="noConversion"/>
  </si>
  <si>
    <t>B321</t>
    <phoneticPr fontId="1" type="noConversion"/>
  </si>
  <si>
    <t>抗颱風力等級設定</t>
    <phoneticPr fontId="1" type="noConversion"/>
  </si>
  <si>
    <t>B441</t>
    <phoneticPr fontId="1" type="noConversion"/>
  </si>
  <si>
    <t>B442</t>
    <phoneticPr fontId="1" type="noConversion"/>
  </si>
  <si>
    <t>B443</t>
  </si>
  <si>
    <t>內部結構強化</t>
    <phoneticPr fontId="1" type="noConversion"/>
  </si>
  <si>
    <t>外部結構強化</t>
    <phoneticPr fontId="1" type="noConversion"/>
  </si>
  <si>
    <t>破風結構強化</t>
    <phoneticPr fontId="1" type="noConversion"/>
  </si>
  <si>
    <t>B型簡易溫室</t>
    <phoneticPr fontId="1" type="noConversion"/>
  </si>
  <si>
    <t>C型簡易溫室</t>
    <phoneticPr fontId="1" type="noConversion"/>
  </si>
  <si>
    <t>B461</t>
    <phoneticPr fontId="1" type="noConversion"/>
  </si>
  <si>
    <t>B462</t>
    <phoneticPr fontId="1" type="noConversion"/>
  </si>
  <si>
    <t>B463</t>
  </si>
  <si>
    <t>B464</t>
  </si>
  <si>
    <t>B465</t>
  </si>
  <si>
    <t>B421</t>
    <phoneticPr fontId="1" type="noConversion"/>
  </si>
  <si>
    <t>B422</t>
    <phoneticPr fontId="1" type="noConversion"/>
  </si>
  <si>
    <t>B423</t>
  </si>
  <si>
    <t>B424</t>
  </si>
  <si>
    <t>B425</t>
  </si>
  <si>
    <t>B471</t>
    <phoneticPr fontId="1" type="noConversion"/>
  </si>
  <si>
    <t>B472</t>
    <phoneticPr fontId="1" type="noConversion"/>
  </si>
  <si>
    <t>B473</t>
  </si>
  <si>
    <t>B474</t>
  </si>
  <si>
    <t>B475</t>
  </si>
  <si>
    <t>代號</t>
    <phoneticPr fontId="1" type="noConversion"/>
  </si>
  <si>
    <t>B541</t>
    <phoneticPr fontId="1" type="noConversion"/>
  </si>
  <si>
    <t>B542</t>
    <phoneticPr fontId="1" type="noConversion"/>
  </si>
  <si>
    <t>B543</t>
  </si>
  <si>
    <t>B544</t>
  </si>
  <si>
    <t>B545</t>
  </si>
  <si>
    <t>溫室形式</t>
    <phoneticPr fontId="1" type="noConversion"/>
  </si>
  <si>
    <t>週期</t>
    <phoneticPr fontId="1" type="noConversion"/>
  </si>
  <si>
    <t>預定</t>
    <phoneticPr fontId="1" type="noConversion"/>
  </si>
  <si>
    <t>實際</t>
    <phoneticPr fontId="1" type="noConversion"/>
  </si>
  <si>
    <t>編號</t>
    <phoneticPr fontId="1" type="noConversion"/>
  </si>
  <si>
    <t>主要項目</t>
    <phoneticPr fontId="1" type="noConversion"/>
  </si>
  <si>
    <t>分項項目</t>
    <phoneticPr fontId="1" type="noConversion"/>
  </si>
  <si>
    <t>地基</t>
    <phoneticPr fontId="1" type="noConversion"/>
  </si>
  <si>
    <t>地錨</t>
    <phoneticPr fontId="1" type="noConversion"/>
  </si>
  <si>
    <t>山牆面</t>
    <phoneticPr fontId="1" type="noConversion"/>
  </si>
  <si>
    <t>拉網上層柱</t>
    <phoneticPr fontId="1" type="noConversion"/>
  </si>
  <si>
    <t>內網支撐管</t>
    <phoneticPr fontId="1" type="noConversion"/>
  </si>
  <si>
    <t>內網桁管</t>
    <phoneticPr fontId="1" type="noConversion"/>
  </si>
  <si>
    <t>桁架</t>
    <phoneticPr fontId="1" type="noConversion"/>
  </si>
  <si>
    <r>
      <rPr>
        <sz val="14"/>
        <color theme="1"/>
        <rFont val="標楷體"/>
        <family val="4"/>
        <charset val="136"/>
      </rPr>
      <t>主立柱</t>
    </r>
    <phoneticPr fontId="1" type="noConversion"/>
  </si>
  <si>
    <r>
      <rPr>
        <sz val="14"/>
        <color theme="1"/>
        <rFont val="標楷體"/>
        <family val="4"/>
        <charset val="136"/>
      </rPr>
      <t>副立柱</t>
    </r>
    <phoneticPr fontId="1" type="noConversion"/>
  </si>
  <si>
    <t>屋面弧管</t>
    <phoneticPr fontId="1" type="noConversion"/>
  </si>
  <si>
    <t>弧管支撐管</t>
    <phoneticPr fontId="1" type="noConversion"/>
  </si>
  <si>
    <t>屋面桁管</t>
    <phoneticPr fontId="1" type="noConversion"/>
  </si>
  <si>
    <t>風扇樑</t>
    <phoneticPr fontId="1" type="noConversion"/>
  </si>
  <si>
    <t>內網支撐管</t>
    <phoneticPr fontId="1" type="noConversion"/>
  </si>
  <si>
    <t>內網桁管</t>
    <phoneticPr fontId="1" type="noConversion"/>
  </si>
  <si>
    <t>力霸樑</t>
    <phoneticPr fontId="1" type="noConversion"/>
  </si>
  <si>
    <t>矮牆樑</t>
    <phoneticPr fontId="1" type="noConversion"/>
  </si>
  <si>
    <t>水槽樑</t>
    <phoneticPr fontId="1" type="noConversion"/>
  </si>
  <si>
    <t>側樑</t>
    <phoneticPr fontId="1" type="noConversion"/>
  </si>
  <si>
    <t>側拉桿</t>
    <phoneticPr fontId="1" type="noConversion"/>
  </si>
  <si>
    <t>水槽</t>
    <phoneticPr fontId="1" type="noConversion"/>
  </si>
  <si>
    <t>地基整理</t>
    <phoneticPr fontId="1" type="noConversion"/>
  </si>
  <si>
    <t>資材運送</t>
    <phoneticPr fontId="1" type="noConversion"/>
  </si>
  <si>
    <t>溫室搭建</t>
    <phoneticPr fontId="1" type="noConversion"/>
  </si>
  <si>
    <t>建造施工</t>
    <phoneticPr fontId="1" type="noConversion"/>
  </si>
  <si>
    <t>組合圖</t>
    <phoneticPr fontId="1" type="noConversion"/>
  </si>
  <si>
    <t>單棟溫室</t>
    <phoneticPr fontId="1" type="noConversion"/>
  </si>
  <si>
    <t>整體溫室</t>
    <phoneticPr fontId="1" type="noConversion"/>
  </si>
  <si>
    <t>斜支撐</t>
    <phoneticPr fontId="1" type="noConversion"/>
  </si>
  <si>
    <t>地錨設計</t>
    <phoneticPr fontId="1" type="noConversion"/>
  </si>
  <si>
    <t>溫室平面設計</t>
    <phoneticPr fontId="1" type="noConversion"/>
  </si>
  <si>
    <t>溫室山牆面設計</t>
    <phoneticPr fontId="1" type="noConversion"/>
  </si>
  <si>
    <t>溫室桁架設計</t>
    <phoneticPr fontId="1" type="noConversion"/>
  </si>
  <si>
    <t>主要颱風路徑</t>
    <phoneticPr fontId="1" type="noConversion"/>
  </si>
  <si>
    <t>南</t>
  </si>
  <si>
    <t>南</t>
    <phoneticPr fontId="1" type="noConversion"/>
  </si>
  <si>
    <t>西北</t>
    <phoneticPr fontId="1" type="noConversion"/>
  </si>
  <si>
    <t>-</t>
    <phoneticPr fontId="1" type="noConversion"/>
  </si>
  <si>
    <t>北</t>
    <phoneticPr fontId="1" type="noConversion"/>
  </si>
  <si>
    <t>南</t>
    <phoneticPr fontId="1" type="noConversion"/>
  </si>
  <si>
    <t>西</t>
    <phoneticPr fontId="1" type="noConversion"/>
  </si>
  <si>
    <t>溫室環境溫度分析</t>
    <phoneticPr fontId="1" type="noConversion"/>
  </si>
  <si>
    <t>溫室環境溫度分析</t>
    <phoneticPr fontId="1" type="noConversion"/>
  </si>
  <si>
    <t>5 cm</t>
  </si>
  <si>
    <t>10 cm</t>
  </si>
  <si>
    <t>20 cm</t>
  </si>
  <si>
    <t>15 cm</t>
  </si>
  <si>
    <t>30 cm</t>
  </si>
  <si>
    <r>
      <rPr>
        <sz val="14"/>
        <color theme="1"/>
        <rFont val="標楷體"/>
        <family val="4"/>
        <charset val="136"/>
      </rPr>
      <t>熱傳導係數</t>
    </r>
  </si>
  <si>
    <r>
      <rPr>
        <sz val="14"/>
        <color theme="1"/>
        <rFont val="標楷體"/>
        <family val="4"/>
        <charset val="136"/>
      </rPr>
      <t>空氣層厚度</t>
    </r>
  </si>
  <si>
    <r>
      <rPr>
        <sz val="14"/>
        <color theme="1"/>
        <rFont val="標楷體"/>
        <family val="4"/>
        <charset val="136"/>
      </rPr>
      <t>靜滯的空氣層</t>
    </r>
  </si>
  <si>
    <r>
      <rPr>
        <sz val="14"/>
        <color theme="1"/>
        <rFont val="標楷體"/>
        <family val="4"/>
        <charset val="136"/>
      </rPr>
      <t>允許空氣流通之空氣層</t>
    </r>
  </si>
  <si>
    <t>編號</t>
    <phoneticPr fontId="1" type="noConversion"/>
  </si>
  <si>
    <r>
      <t>較高的建築全靠自然通風來降溫，無其它降溫措施，則屋簷高應採</t>
    </r>
    <r>
      <rPr>
        <sz val="14"/>
        <color theme="1"/>
        <rFont val="Times New Roman"/>
        <family val="1"/>
      </rPr>
      <t>3.5m</t>
    </r>
    <r>
      <rPr>
        <sz val="14"/>
        <color theme="1"/>
        <rFont val="標楷體"/>
        <family val="4"/>
        <charset val="136"/>
      </rPr>
      <t>或更高，若有配合其它降溫措施如外遮蔭、風機、造霧等，則屋簷高度可稍減，但仍有其低限，以維持在三米或以上為宜。</t>
    </r>
    <phoneticPr fontId="1" type="noConversion"/>
  </si>
  <si>
    <t>太子樓式、側翼開啟式或不對稱斜坡(鋸齒式)屋頂可使上升的熱空氣由上方離開，可在開口下方加裝抽風風扇以加強換氣。</t>
    <phoneticPr fontId="1" type="noConversion"/>
  </si>
  <si>
    <t>採用開放或半開放的建築，應配合場地的選擇，夏季之風向等，善加利用自然通風方式來降溫。</t>
    <phoneticPr fontId="1" type="noConversion"/>
  </si>
  <si>
    <t>使用外遮蔭時，外遮蔭系統平時可採固定安置方式，遮蔭網距屋頂應至少有20cm之距離以允許空氣流通，外遮蔭系統應提供手動收起功能，以防止強風時吹壞。</t>
    <phoneticPr fontId="1" type="noConversion"/>
  </si>
  <si>
    <t>使用內遮蔭之目的在將熱阻隔於遮蔭網之上方，配合風機之使用可將上方較熱空氣抽走。內遮蔭系統應採可收放式，需注意在張開時不要擋了下層空氣至屋頂上方開口之路徑。</t>
    <phoneticPr fontId="1" type="noConversion"/>
  </si>
  <si>
    <t>使用側遮蔭時，側遮蔭系統可分伸出式或捲揚式兩種，兩式皆可在強日照時遮蔽強光；但就降溫之目的而言，伸出式會優於捲揚式，因為前者屬屋簷之延伸，後者在捲下遮蔭時會減少入風口面積較為不利。後者之優點在於不佔面積、價廉，亦可在低溫或強風時提供保溫與擋風之功能。午後，西側的側牆特別需要遮蔭。</t>
    <phoneticPr fontId="1" type="noConversion"/>
  </si>
  <si>
    <t>溫室降溫方式</t>
    <phoneticPr fontId="1" type="noConversion"/>
  </si>
  <si>
    <t>編號</t>
    <phoneticPr fontId="1" type="noConversion"/>
  </si>
  <si>
    <t>溫室作物環境需求分析</t>
    <phoneticPr fontId="1" type="noConversion"/>
  </si>
  <si>
    <t>蝴蝶蘭</t>
    <phoneticPr fontId="1" type="noConversion"/>
  </si>
  <si>
    <t>蔥</t>
    <phoneticPr fontId="1" type="noConversion"/>
  </si>
  <si>
    <t>水果作業系統</t>
    <phoneticPr fontId="1" type="noConversion"/>
  </si>
  <si>
    <t>小番茄</t>
    <phoneticPr fontId="1" type="noConversion"/>
  </si>
  <si>
    <t>溫室朝向</t>
  </si>
  <si>
    <r>
      <t>1.</t>
    </r>
    <r>
      <rPr>
        <b/>
        <sz val="14"/>
        <color rgb="FF0000FF"/>
        <rFont val="標楷體"/>
        <family val="4"/>
        <charset val="136"/>
      </rPr>
      <t>側面橫向力破壞</t>
    </r>
  </si>
  <si>
    <r>
      <t>2.</t>
    </r>
    <r>
      <rPr>
        <b/>
        <sz val="14"/>
        <color rgb="FF0000FF"/>
        <rFont val="標楷體"/>
        <family val="4"/>
        <charset val="136"/>
      </rPr>
      <t>上揚力破壞</t>
    </r>
  </si>
  <si>
    <r>
      <t>3.</t>
    </r>
    <r>
      <rPr>
        <b/>
        <sz val="14"/>
        <color rgb="FF0000FF"/>
        <rFont val="標楷體"/>
        <family val="4"/>
        <charset val="136"/>
      </rPr>
      <t>山牆面橫向力破壞</t>
    </r>
  </si>
  <si>
    <r>
      <t>4.</t>
    </r>
    <r>
      <rPr>
        <b/>
        <sz val="14"/>
        <color rgb="FF0000FF"/>
        <rFont val="標楷體"/>
        <family val="4"/>
        <charset val="136"/>
      </rPr>
      <t>下降氣流破壞</t>
    </r>
  </si>
  <si>
    <t>-</t>
    <phoneticPr fontId="1" type="noConversion"/>
  </si>
  <si>
    <t>溫室周遭雨量</t>
    <phoneticPr fontId="1" type="noConversion"/>
  </si>
  <si>
    <t>溫室周遭地形</t>
    <phoneticPr fontId="1" type="noConversion"/>
  </si>
  <si>
    <r>
      <rPr>
        <sz val="14"/>
        <rFont val="Times New Roman"/>
        <family val="1"/>
      </rPr>
      <t>24</t>
    </r>
    <r>
      <rPr>
        <sz val="14"/>
        <rFont val="標楷體"/>
        <family val="4"/>
        <charset val="136"/>
      </rPr>
      <t xml:space="preserve">小時最大雨量
</t>
    </r>
    <r>
      <rPr>
        <sz val="14"/>
        <rFont val="Times New Roman"/>
        <family val="1"/>
      </rPr>
      <t>(mm)</t>
    </r>
    <phoneticPr fontId="1" type="noConversion"/>
  </si>
  <si>
    <r>
      <t>溫度的高低與綠色植物的生育之關係十分密切，一般在</t>
    </r>
    <r>
      <rPr>
        <sz val="14"/>
        <color theme="1"/>
        <rFont val="Times New Roman"/>
        <family val="1"/>
      </rPr>
      <t>10~24</t>
    </r>
    <r>
      <rPr>
        <sz val="14"/>
        <color theme="1"/>
        <rFont val="標楷體"/>
        <family val="4"/>
        <charset val="136"/>
      </rPr>
      <t>℃間，隨溫度升高生長亦隨之加速，呈線性關係。</t>
    </r>
    <phoneticPr fontId="1" type="noConversion"/>
  </si>
  <si>
    <r>
      <t>植物生長所需的適溫範圍隨種類而異，一般溫帶地區原產的植物約在</t>
    </r>
    <r>
      <rPr>
        <sz val="14"/>
        <color theme="1"/>
        <rFont val="Times New Roman"/>
        <family val="1"/>
      </rPr>
      <t xml:space="preserve"> 20</t>
    </r>
    <r>
      <rPr>
        <sz val="14"/>
        <color theme="1"/>
        <rFont val="標楷體"/>
        <family val="4"/>
        <charset val="136"/>
      </rPr>
      <t>℃左右，高山和冷涼地區原產者，其適溫在</t>
    </r>
    <r>
      <rPr>
        <sz val="14"/>
        <color theme="1"/>
        <rFont val="Times New Roman"/>
        <family val="1"/>
      </rPr>
      <t>10~15</t>
    </r>
    <r>
      <rPr>
        <sz val="14"/>
        <color theme="1"/>
        <rFont val="標楷體"/>
        <family val="4"/>
        <charset val="136"/>
      </rPr>
      <t>℃之間，至於熱帶地區原產者，則喜歡</t>
    </r>
    <r>
      <rPr>
        <sz val="14"/>
        <color theme="1"/>
        <rFont val="Times New Roman"/>
        <family val="1"/>
      </rPr>
      <t>25</t>
    </r>
    <r>
      <rPr>
        <sz val="14"/>
        <color theme="1"/>
        <rFont val="標楷體"/>
        <family val="4"/>
        <charset val="136"/>
      </rPr>
      <t>℃或以上的高溫。</t>
    </r>
    <phoneticPr fontId="1" type="noConversion"/>
  </si>
  <si>
    <r>
      <t>太低或太高的溫度對植物生長皆不相宜。一般作物可分為暖季和涼季作物，番茄和小黃瓜是暖季作物，小苗低於</t>
    </r>
    <r>
      <rPr>
        <sz val="14"/>
        <color theme="1"/>
        <rFont val="Times New Roman"/>
        <family val="1"/>
      </rPr>
      <t>13</t>
    </r>
    <r>
      <rPr>
        <sz val="14"/>
        <color theme="1"/>
        <rFont val="標楷體"/>
        <family val="4"/>
        <charset val="136"/>
      </rPr>
      <t>℃，生育緩慢，最適溫常依季節及地區而異，並受總日光輻射能之左右，在密閉的溫室內，增加二氧化碳濃度，增加最適溫度的效應。</t>
    </r>
    <phoneticPr fontId="1" type="noConversion"/>
  </si>
  <si>
    <t>型式</t>
    <phoneticPr fontId="1" type="noConversion"/>
  </si>
  <si>
    <t>G13</t>
    <phoneticPr fontId="1" type="noConversion"/>
  </si>
  <si>
    <r>
      <rPr>
        <sz val="14"/>
        <color theme="1"/>
        <rFont val="Times New Roman"/>
        <family val="1"/>
      </rPr>
      <t>WTG-G9</t>
    </r>
    <r>
      <rPr>
        <sz val="14"/>
        <color theme="1"/>
        <rFont val="標楷體"/>
        <family val="4"/>
        <charset val="136"/>
      </rPr>
      <t>使用構件尺寸</t>
    </r>
    <phoneticPr fontId="1" type="noConversion"/>
  </si>
  <si>
    <r>
      <rPr>
        <sz val="14"/>
        <color theme="1"/>
        <rFont val="Times New Roman"/>
        <family val="1"/>
      </rPr>
      <t>WTG-G11</t>
    </r>
    <r>
      <rPr>
        <sz val="14"/>
        <color theme="1"/>
        <rFont val="標楷體"/>
        <family val="4"/>
        <charset val="136"/>
      </rPr>
      <t>使用構件尺寸</t>
    </r>
    <phoneticPr fontId="1" type="noConversion"/>
  </si>
  <si>
    <r>
      <rPr>
        <sz val="14"/>
        <color theme="1"/>
        <rFont val="細明體"/>
        <family val="3"/>
        <charset val="136"/>
      </rPr>
      <t>□</t>
    </r>
    <r>
      <rPr>
        <sz val="14"/>
        <color theme="1"/>
        <rFont val="Times New Roman"/>
        <family val="1"/>
      </rPr>
      <t xml:space="preserve"> 60x60x2.3t</t>
    </r>
    <phoneticPr fontId="1" type="noConversion"/>
  </si>
  <si>
    <t>上層柱</t>
    <phoneticPr fontId="1" type="noConversion"/>
  </si>
  <si>
    <r>
      <t>□</t>
    </r>
    <r>
      <rPr>
        <sz val="14"/>
        <color theme="1"/>
        <rFont val="Times New Roman"/>
        <family val="1"/>
      </rPr>
      <t xml:space="preserve"> 50x50x1.6t</t>
    </r>
    <phoneticPr fontId="1" type="noConversion"/>
  </si>
  <si>
    <r>
      <t>□</t>
    </r>
    <r>
      <rPr>
        <sz val="14"/>
        <color theme="1"/>
        <rFont val="Times New Roman"/>
        <family val="1"/>
      </rPr>
      <t xml:space="preserve"> 50x50x2.3t</t>
    </r>
    <phoneticPr fontId="1" type="noConversion"/>
  </si>
  <si>
    <t>SB1</t>
    <phoneticPr fontId="1" type="noConversion"/>
  </si>
  <si>
    <t>SB2</t>
    <phoneticPr fontId="1" type="noConversion"/>
  </si>
  <si>
    <t>SB3</t>
  </si>
  <si>
    <t>SB4</t>
  </si>
  <si>
    <t>SB5</t>
  </si>
  <si>
    <t>SB6</t>
  </si>
  <si>
    <t>SB7</t>
  </si>
  <si>
    <t>SB8</t>
  </si>
  <si>
    <t>SB9</t>
  </si>
  <si>
    <t>SB10</t>
  </si>
  <si>
    <t>SB11</t>
  </si>
  <si>
    <t>SB12</t>
  </si>
  <si>
    <t>屋頂樑</t>
    <phoneticPr fontId="1" type="noConversion"/>
  </si>
  <si>
    <t>屋頂桁架</t>
    <phoneticPr fontId="1" type="noConversion"/>
  </si>
  <si>
    <t>風扇側樑</t>
    <phoneticPr fontId="1" type="noConversion"/>
  </si>
  <si>
    <t>水牆樑</t>
    <phoneticPr fontId="1" type="noConversion"/>
  </si>
  <si>
    <t>下側樑</t>
    <phoneticPr fontId="1" type="noConversion"/>
  </si>
  <si>
    <t>主橫樑</t>
    <phoneticPr fontId="1" type="noConversion"/>
  </si>
  <si>
    <t>外網桁架</t>
    <phoneticPr fontId="1" type="noConversion"/>
  </si>
  <si>
    <t>外網橫樑</t>
    <phoneticPr fontId="1" type="noConversion"/>
  </si>
  <si>
    <t>屋頂架</t>
    <phoneticPr fontId="1" type="noConversion"/>
  </si>
  <si>
    <r>
      <rPr>
        <sz val="14"/>
        <color theme="1"/>
        <rFont val="細明體"/>
        <family val="3"/>
        <charset val="136"/>
      </rPr>
      <t>□</t>
    </r>
    <r>
      <rPr>
        <sz val="14"/>
        <color theme="1"/>
        <rFont val="Times New Roman"/>
        <family val="1"/>
      </rPr>
      <t xml:space="preserve"> 60x60x2.0t</t>
    </r>
    <phoneticPr fontId="1" type="noConversion"/>
  </si>
  <si>
    <t>C  100x50x20x2.3t</t>
    <phoneticPr fontId="1" type="noConversion"/>
  </si>
  <si>
    <r>
      <rPr>
        <sz val="14"/>
        <color theme="1"/>
        <rFont val="細明體"/>
        <family val="3"/>
        <charset val="136"/>
      </rPr>
      <t>□</t>
    </r>
    <r>
      <rPr>
        <sz val="14"/>
        <color theme="1"/>
        <rFont val="Times New Roman"/>
        <family val="1"/>
      </rPr>
      <t xml:space="preserve"> 50x50x2.3t</t>
    </r>
    <phoneticPr fontId="1" type="noConversion"/>
  </si>
  <si>
    <t>U100x70x2.3t</t>
    <phoneticPr fontId="1" type="noConversion"/>
  </si>
  <si>
    <r>
      <rPr>
        <sz val="14"/>
        <color theme="1"/>
        <rFont val="細明體"/>
        <family val="3"/>
        <charset val="136"/>
      </rPr>
      <t>□</t>
    </r>
    <r>
      <rPr>
        <sz val="14"/>
        <color theme="1"/>
        <rFont val="Times New Roman"/>
        <family val="1"/>
      </rPr>
      <t xml:space="preserve"> 80x50x3.0t</t>
    </r>
    <phoneticPr fontId="1" type="noConversion"/>
  </si>
  <si>
    <r>
      <t>上下弦桿□</t>
    </r>
    <r>
      <rPr>
        <sz val="14"/>
        <color theme="1"/>
        <rFont val="Times New Roman"/>
        <family val="1"/>
      </rPr>
      <t>60x30x2.3t H=500</t>
    </r>
    <phoneticPr fontId="1" type="noConversion"/>
  </si>
  <si>
    <t>U120x100x2.0t</t>
    <phoneticPr fontId="1" type="noConversion"/>
  </si>
  <si>
    <t>Ø 13mm</t>
    <phoneticPr fontId="1" type="noConversion"/>
  </si>
  <si>
    <t>風拉桿</t>
    <phoneticPr fontId="1" type="noConversion"/>
  </si>
  <si>
    <t>J1</t>
    <phoneticPr fontId="1" type="noConversion"/>
  </si>
  <si>
    <t>J2</t>
    <phoneticPr fontId="1" type="noConversion"/>
  </si>
  <si>
    <r>
      <rPr>
        <sz val="14"/>
        <color theme="1"/>
        <rFont val="Times New Roman"/>
        <family val="1"/>
      </rPr>
      <t>WTG-G13</t>
    </r>
    <r>
      <rPr>
        <sz val="14"/>
        <color theme="1"/>
        <rFont val="標楷體"/>
        <family val="4"/>
        <charset val="136"/>
      </rPr>
      <t>使用構件尺寸</t>
    </r>
    <phoneticPr fontId="1" type="noConversion"/>
  </si>
  <si>
    <r>
      <t>2</t>
    </r>
    <r>
      <rPr>
        <sz val="14"/>
        <color theme="1"/>
        <rFont val="細明體"/>
        <family val="3"/>
        <charset val="136"/>
      </rPr>
      <t>□□</t>
    </r>
    <r>
      <rPr>
        <sz val="14"/>
        <color theme="1"/>
        <rFont val="Times New Roman"/>
        <family val="1"/>
      </rPr>
      <t xml:space="preserve"> 75x75x3.2t</t>
    </r>
    <phoneticPr fontId="1" type="noConversion"/>
  </si>
  <si>
    <r>
      <rPr>
        <sz val="14"/>
        <color theme="1"/>
        <rFont val="細明體"/>
        <family val="3"/>
        <charset val="136"/>
      </rPr>
      <t>□</t>
    </r>
    <r>
      <rPr>
        <sz val="14"/>
        <color theme="1"/>
        <rFont val="Times New Roman"/>
        <family val="1"/>
      </rPr>
      <t xml:space="preserve"> 75x75x3.2t</t>
    </r>
    <phoneticPr fontId="1" type="noConversion"/>
  </si>
  <si>
    <r>
      <t>□</t>
    </r>
    <r>
      <rPr>
        <sz val="14"/>
        <color theme="1"/>
        <rFont val="Times New Roman"/>
        <family val="1"/>
      </rPr>
      <t xml:space="preserve"> 50x50x3.2t</t>
    </r>
    <phoneticPr fontId="1" type="noConversion"/>
  </si>
  <si>
    <t>C  100x50x20x3.2t</t>
    <phoneticPr fontId="1" type="noConversion"/>
  </si>
  <si>
    <r>
      <rPr>
        <sz val="14"/>
        <color theme="1"/>
        <rFont val="細明體"/>
        <family val="3"/>
        <charset val="136"/>
      </rPr>
      <t>□</t>
    </r>
    <r>
      <rPr>
        <sz val="14"/>
        <color theme="1"/>
        <rFont val="Times New Roman"/>
        <family val="1"/>
      </rPr>
      <t xml:space="preserve"> 60x60x3.2t</t>
    </r>
    <phoneticPr fontId="1" type="noConversion"/>
  </si>
  <si>
    <t>B211</t>
    <phoneticPr fontId="1" type="noConversion"/>
  </si>
  <si>
    <t>B212</t>
    <phoneticPr fontId="1" type="noConversion"/>
  </si>
  <si>
    <t>B213</t>
    <phoneticPr fontId="1" type="noConversion"/>
  </si>
  <si>
    <t>B214</t>
    <phoneticPr fontId="1" type="noConversion"/>
  </si>
  <si>
    <r>
      <t>B2413.Venlo</t>
    </r>
    <r>
      <rPr>
        <b/>
        <sz val="16"/>
        <color rgb="FF0000FF"/>
        <rFont val="標楷體"/>
        <family val="4"/>
        <charset val="136"/>
      </rPr>
      <t>力霸型規範</t>
    </r>
    <phoneticPr fontId="1" type="noConversion"/>
  </si>
  <si>
    <r>
      <t>B543.C</t>
    </r>
    <r>
      <rPr>
        <b/>
        <sz val="16"/>
        <color rgb="FF0000FF"/>
        <rFont val="標楷體"/>
        <family val="4"/>
        <charset val="136"/>
      </rPr>
      <t>型簡易型溫室經費表</t>
    </r>
    <phoneticPr fontId="1" type="noConversion"/>
  </si>
  <si>
    <r>
      <t>B542.B</t>
    </r>
    <r>
      <rPr>
        <b/>
        <sz val="16"/>
        <color rgb="FF0000FF"/>
        <rFont val="標楷體"/>
        <family val="4"/>
        <charset val="136"/>
      </rPr>
      <t>型簡易型溫室經費表</t>
    </r>
    <phoneticPr fontId="1" type="noConversion"/>
  </si>
  <si>
    <r>
      <t>B541.A</t>
    </r>
    <r>
      <rPr>
        <b/>
        <sz val="16"/>
        <color rgb="FF0000FF"/>
        <rFont val="標楷體"/>
        <family val="4"/>
        <charset val="136"/>
      </rPr>
      <t>型簡易型溫室經費表</t>
    </r>
    <phoneticPr fontId="1" type="noConversion"/>
  </si>
  <si>
    <r>
      <rPr>
        <sz val="14"/>
        <rFont val="標楷體"/>
        <family val="4"/>
        <charset val="136"/>
      </rPr>
      <t>編號</t>
    </r>
    <phoneticPr fontId="1" type="noConversion"/>
  </si>
  <si>
    <r>
      <rPr>
        <sz val="14"/>
        <rFont val="標楷體"/>
        <family val="4"/>
        <charset val="136"/>
      </rPr>
      <t>名稱</t>
    </r>
    <phoneticPr fontId="1" type="noConversion"/>
  </si>
  <si>
    <r>
      <rPr>
        <sz val="14"/>
        <color theme="1"/>
        <rFont val="標楷體"/>
        <family val="4"/>
        <charset val="136"/>
      </rPr>
      <t>圓頂力霸型溫室</t>
    </r>
    <phoneticPr fontId="1" type="noConversion"/>
  </si>
  <si>
    <r>
      <rPr>
        <sz val="14"/>
        <color theme="1"/>
        <rFont val="標楷體"/>
        <family val="4"/>
        <charset val="136"/>
      </rPr>
      <t>精密型溫室</t>
    </r>
    <phoneticPr fontId="1" type="noConversion"/>
  </si>
  <si>
    <r>
      <rPr>
        <sz val="14"/>
        <color theme="1"/>
        <rFont val="標楷體"/>
        <family val="4"/>
        <charset val="136"/>
      </rPr>
      <t>精密型溫室</t>
    </r>
    <phoneticPr fontId="1" type="noConversion"/>
  </si>
  <si>
    <r>
      <t>B54.</t>
    </r>
    <r>
      <rPr>
        <b/>
        <sz val="16"/>
        <color rgb="FF0000FF"/>
        <rFont val="標楷體"/>
        <family val="4"/>
        <charset val="136"/>
      </rPr>
      <t>溫室經費表</t>
    </r>
    <phoneticPr fontId="1" type="noConversion"/>
  </si>
  <si>
    <r>
      <rPr>
        <sz val="14"/>
        <rFont val="標楷體"/>
        <family val="4"/>
        <charset val="136"/>
      </rPr>
      <t>編號</t>
    </r>
    <phoneticPr fontId="1" type="noConversion"/>
  </si>
  <si>
    <r>
      <rPr>
        <sz val="14"/>
        <rFont val="標楷體"/>
        <family val="4"/>
        <charset val="136"/>
      </rPr>
      <t>名稱</t>
    </r>
    <phoneticPr fontId="1" type="noConversion"/>
  </si>
  <si>
    <r>
      <t>A</t>
    </r>
    <r>
      <rPr>
        <u/>
        <sz val="14"/>
        <color theme="10"/>
        <rFont val="標楷體"/>
        <family val="4"/>
        <charset val="136"/>
      </rPr>
      <t>型簡易溫室經費表</t>
    </r>
    <phoneticPr fontId="1" type="noConversion"/>
  </si>
  <si>
    <r>
      <t>B</t>
    </r>
    <r>
      <rPr>
        <u/>
        <sz val="14"/>
        <color theme="10"/>
        <rFont val="標楷體"/>
        <family val="4"/>
        <charset val="136"/>
      </rPr>
      <t>型簡易溫室經費表</t>
    </r>
    <phoneticPr fontId="1" type="noConversion"/>
  </si>
  <si>
    <r>
      <t>C</t>
    </r>
    <r>
      <rPr>
        <u/>
        <sz val="14"/>
        <color theme="10"/>
        <rFont val="標楷體"/>
        <family val="4"/>
        <charset val="136"/>
      </rPr>
      <t>型簡易溫室經費表</t>
    </r>
    <phoneticPr fontId="1" type="noConversion"/>
  </si>
  <si>
    <r>
      <rPr>
        <sz val="14"/>
        <color theme="1"/>
        <rFont val="標楷體"/>
        <family val="4"/>
        <charset val="136"/>
      </rPr>
      <t>圓頂力霸型溫室</t>
    </r>
    <phoneticPr fontId="1" type="noConversion"/>
  </si>
  <si>
    <r>
      <rPr>
        <sz val="14"/>
        <color theme="1"/>
        <rFont val="標楷體"/>
        <family val="4"/>
        <charset val="136"/>
      </rPr>
      <t>精密型溫室</t>
    </r>
    <phoneticPr fontId="1" type="noConversion"/>
  </si>
  <si>
    <r>
      <t>B53.</t>
    </r>
    <r>
      <rPr>
        <b/>
        <sz val="16"/>
        <color rgb="FF0000FF"/>
        <rFont val="標楷體"/>
        <family val="4"/>
        <charset val="136"/>
      </rPr>
      <t>溫室進度表</t>
    </r>
    <phoneticPr fontId="1" type="noConversion"/>
  </si>
  <si>
    <r>
      <t>B52.</t>
    </r>
    <r>
      <rPr>
        <b/>
        <sz val="16"/>
        <color rgb="FF0000FF"/>
        <rFont val="標楷體"/>
        <family val="4"/>
        <charset val="136"/>
      </rPr>
      <t>溫室資材表</t>
    </r>
    <phoneticPr fontId="1" type="noConversion"/>
  </si>
  <si>
    <r>
      <t>B51.</t>
    </r>
    <r>
      <rPr>
        <b/>
        <sz val="16"/>
        <color rgb="FF0000FF"/>
        <rFont val="標楷體"/>
        <family val="4"/>
        <charset val="136"/>
      </rPr>
      <t>溫室工程圖</t>
    </r>
    <phoneticPr fontId="1" type="noConversion"/>
  </si>
  <si>
    <r>
      <t>B47.</t>
    </r>
    <r>
      <rPr>
        <b/>
        <sz val="16"/>
        <color rgb="FF0000FF"/>
        <rFont val="標楷體"/>
        <family val="4"/>
        <charset val="136"/>
      </rPr>
      <t>溫室成本設計</t>
    </r>
    <phoneticPr fontId="1" type="noConversion"/>
  </si>
  <si>
    <r>
      <rPr>
        <sz val="14"/>
        <rFont val="標楷體"/>
        <family val="4"/>
        <charset val="136"/>
      </rPr>
      <t>編號</t>
    </r>
    <phoneticPr fontId="1" type="noConversion"/>
  </si>
  <si>
    <r>
      <rPr>
        <sz val="14"/>
        <rFont val="標楷體"/>
        <family val="4"/>
        <charset val="136"/>
      </rPr>
      <t>名稱</t>
    </r>
    <phoneticPr fontId="1" type="noConversion"/>
  </si>
  <si>
    <r>
      <rPr>
        <sz val="14"/>
        <color theme="1"/>
        <rFont val="標楷體"/>
        <family val="4"/>
        <charset val="136"/>
      </rPr>
      <t>溫室重量</t>
    </r>
    <r>
      <rPr>
        <sz val="14"/>
        <color theme="1"/>
        <rFont val="Times New Roman"/>
        <family val="1"/>
      </rPr>
      <t>(kg)</t>
    </r>
    <phoneticPr fontId="1" type="noConversion"/>
  </si>
  <si>
    <r>
      <rPr>
        <sz val="14"/>
        <color theme="1"/>
        <rFont val="標楷體"/>
        <family val="4"/>
        <charset val="136"/>
      </rPr>
      <t>構件成本</t>
    </r>
    <r>
      <rPr>
        <sz val="14"/>
        <color theme="1"/>
        <rFont val="Times New Roman"/>
        <family val="1"/>
      </rPr>
      <t>(</t>
    </r>
    <r>
      <rPr>
        <sz val="14"/>
        <color theme="1"/>
        <rFont val="標楷體"/>
        <family val="4"/>
        <charset val="136"/>
      </rPr>
      <t>元</t>
    </r>
    <r>
      <rPr>
        <sz val="14"/>
        <color theme="1"/>
        <rFont val="Times New Roman"/>
        <family val="1"/>
      </rPr>
      <t>)</t>
    </r>
    <phoneticPr fontId="1" type="noConversion"/>
  </si>
  <si>
    <r>
      <t>A</t>
    </r>
    <r>
      <rPr>
        <sz val="14"/>
        <color theme="1"/>
        <rFont val="標楷體"/>
        <family val="4"/>
        <charset val="136"/>
      </rPr>
      <t>型簡易溫室成本</t>
    </r>
    <phoneticPr fontId="1" type="noConversion"/>
  </si>
  <si>
    <r>
      <t>B</t>
    </r>
    <r>
      <rPr>
        <sz val="14"/>
        <color theme="1"/>
        <rFont val="標楷體"/>
        <family val="4"/>
        <charset val="136"/>
      </rPr>
      <t>型簡易溫室成本</t>
    </r>
    <phoneticPr fontId="1" type="noConversion"/>
  </si>
  <si>
    <r>
      <t>C</t>
    </r>
    <r>
      <rPr>
        <sz val="14"/>
        <color theme="1"/>
        <rFont val="標楷體"/>
        <family val="4"/>
        <charset val="136"/>
      </rPr>
      <t>型簡易溫室成本</t>
    </r>
    <phoneticPr fontId="1" type="noConversion"/>
  </si>
  <si>
    <r>
      <t>B464.</t>
    </r>
    <r>
      <rPr>
        <b/>
        <sz val="16"/>
        <color rgb="FF0000FF"/>
        <rFont val="標楷體"/>
        <family val="4"/>
        <charset val="136"/>
      </rPr>
      <t>圓頂力霸塑膠型溫室</t>
    </r>
    <phoneticPr fontId="1" type="noConversion"/>
  </si>
  <si>
    <r>
      <t>B463.C</t>
    </r>
    <r>
      <rPr>
        <b/>
        <sz val="16"/>
        <color rgb="FF0000FF"/>
        <rFont val="標楷體"/>
        <family val="4"/>
        <charset val="136"/>
      </rPr>
      <t>型簡易型溫室</t>
    </r>
    <phoneticPr fontId="1" type="noConversion"/>
  </si>
  <si>
    <r>
      <t>B462.B</t>
    </r>
    <r>
      <rPr>
        <b/>
        <sz val="16"/>
        <color rgb="FF0000FF"/>
        <rFont val="標楷體"/>
        <family val="4"/>
        <charset val="136"/>
      </rPr>
      <t>型簡易型溫室</t>
    </r>
    <phoneticPr fontId="1" type="noConversion"/>
  </si>
  <si>
    <r>
      <t>B461.A</t>
    </r>
    <r>
      <rPr>
        <b/>
        <sz val="16"/>
        <color rgb="FF0000FF"/>
        <rFont val="標楷體"/>
        <family val="4"/>
        <charset val="136"/>
      </rPr>
      <t>型簡易型溫室</t>
    </r>
    <phoneticPr fontId="1" type="noConversion"/>
  </si>
  <si>
    <r>
      <t>B46.</t>
    </r>
    <r>
      <rPr>
        <b/>
        <sz val="16"/>
        <color rgb="FF0000FF"/>
        <rFont val="標楷體"/>
        <family val="4"/>
        <charset val="136"/>
      </rPr>
      <t>溫室工程設計</t>
    </r>
    <phoneticPr fontId="1" type="noConversion"/>
  </si>
  <si>
    <r>
      <t>A</t>
    </r>
    <r>
      <rPr>
        <u/>
        <sz val="14"/>
        <color theme="10"/>
        <rFont val="標楷體"/>
        <family val="4"/>
        <charset val="136"/>
      </rPr>
      <t>型簡易溫室</t>
    </r>
    <phoneticPr fontId="1" type="noConversion"/>
  </si>
  <si>
    <r>
      <t>B</t>
    </r>
    <r>
      <rPr>
        <u/>
        <sz val="14"/>
        <color theme="10"/>
        <rFont val="標楷體"/>
        <family val="4"/>
        <charset val="136"/>
      </rPr>
      <t>型簡易溫室</t>
    </r>
    <phoneticPr fontId="1" type="noConversion"/>
  </si>
  <si>
    <r>
      <t>C</t>
    </r>
    <r>
      <rPr>
        <u/>
        <sz val="14"/>
        <color theme="10"/>
        <rFont val="標楷體"/>
        <family val="4"/>
        <charset val="136"/>
      </rPr>
      <t>型簡易溫室</t>
    </r>
    <phoneticPr fontId="1" type="noConversion"/>
  </si>
  <si>
    <r>
      <rPr>
        <u/>
        <sz val="14"/>
        <color theme="10"/>
        <rFont val="標楷體"/>
        <family val="4"/>
        <charset val="136"/>
      </rPr>
      <t>圓頂力霸型溫室</t>
    </r>
    <phoneticPr fontId="1" type="noConversion"/>
  </si>
  <si>
    <r>
      <t>B45.</t>
    </r>
    <r>
      <rPr>
        <b/>
        <sz val="16"/>
        <color rgb="FF0000FF"/>
        <rFont val="標楷體"/>
        <family val="4"/>
        <charset val="136"/>
      </rPr>
      <t>溫室處理設計</t>
    </r>
    <phoneticPr fontId="1" type="noConversion"/>
  </si>
  <si>
    <r>
      <t>B443.</t>
    </r>
    <r>
      <rPr>
        <b/>
        <sz val="16"/>
        <color rgb="FF0000FF"/>
        <rFont val="標楷體"/>
        <family val="4"/>
        <charset val="136"/>
      </rPr>
      <t>破風結構強化</t>
    </r>
    <phoneticPr fontId="1" type="noConversion"/>
  </si>
  <si>
    <r>
      <t>B442.</t>
    </r>
    <r>
      <rPr>
        <b/>
        <sz val="16"/>
        <color rgb="FF0000FF"/>
        <rFont val="標楷體"/>
        <family val="4"/>
        <charset val="136"/>
      </rPr>
      <t>外部結構強化</t>
    </r>
    <phoneticPr fontId="1" type="noConversion"/>
  </si>
  <si>
    <r>
      <t>B441.</t>
    </r>
    <r>
      <rPr>
        <b/>
        <sz val="16"/>
        <color rgb="FF0000FF"/>
        <rFont val="標楷體"/>
        <family val="4"/>
        <charset val="136"/>
      </rPr>
      <t>內部結構強化</t>
    </r>
    <phoneticPr fontId="1" type="noConversion"/>
  </si>
  <si>
    <r>
      <t>B44.</t>
    </r>
    <r>
      <rPr>
        <b/>
        <sz val="16"/>
        <color rgb="FF0000FF"/>
        <rFont val="標楷體"/>
        <family val="4"/>
        <charset val="136"/>
      </rPr>
      <t>溫室防颱強化設計</t>
    </r>
    <phoneticPr fontId="1" type="noConversion"/>
  </si>
  <si>
    <r>
      <t>B43.</t>
    </r>
    <r>
      <rPr>
        <b/>
        <sz val="16"/>
        <color rgb="FF0000FF"/>
        <rFont val="標楷體"/>
        <family val="4"/>
        <charset val="136"/>
      </rPr>
      <t>溫室結構設計</t>
    </r>
    <phoneticPr fontId="1" type="noConversion"/>
  </si>
  <si>
    <r>
      <t>B42.</t>
    </r>
    <r>
      <rPr>
        <b/>
        <sz val="16"/>
        <color rgb="FF0000FF"/>
        <rFont val="標楷體"/>
        <family val="4"/>
        <charset val="136"/>
      </rPr>
      <t>溫室基本設計</t>
    </r>
    <phoneticPr fontId="1" type="noConversion"/>
  </si>
  <si>
    <r>
      <t>B41.</t>
    </r>
    <r>
      <rPr>
        <b/>
        <sz val="16"/>
        <color rgb="FF0000FF"/>
        <rFont val="標楷體"/>
        <family val="4"/>
        <charset val="136"/>
      </rPr>
      <t>環境需求設計</t>
    </r>
    <phoneticPr fontId="1" type="noConversion"/>
  </si>
  <si>
    <r>
      <t>B322.</t>
    </r>
    <r>
      <rPr>
        <b/>
        <sz val="16"/>
        <color rgb="FF0000FF"/>
        <rFont val="標楷體"/>
        <family val="4"/>
        <charset val="136"/>
      </rPr>
      <t>抗颱風力等級設定</t>
    </r>
    <phoneticPr fontId="1" type="noConversion"/>
  </si>
  <si>
    <r>
      <t>B321.</t>
    </r>
    <r>
      <rPr>
        <b/>
        <sz val="16"/>
        <color rgb="FF0000FF"/>
        <rFont val="標楷體"/>
        <family val="4"/>
        <charset val="136"/>
      </rPr>
      <t>溫室周遭建物</t>
    </r>
    <phoneticPr fontId="1" type="noConversion"/>
  </si>
  <si>
    <r>
      <t>B32.</t>
    </r>
    <r>
      <rPr>
        <b/>
        <sz val="16"/>
        <color rgb="FF0000FF"/>
        <rFont val="標楷體"/>
        <family val="4"/>
        <charset val="136"/>
      </rPr>
      <t>溫室設計綜合分析</t>
    </r>
    <phoneticPr fontId="1" type="noConversion"/>
  </si>
  <si>
    <r>
      <t>B313.</t>
    </r>
    <r>
      <rPr>
        <b/>
        <sz val="16"/>
        <color rgb="FF0000FF"/>
        <rFont val="標楷體"/>
        <family val="4"/>
        <charset val="136"/>
      </rPr>
      <t>溫室環境腐蝕分析</t>
    </r>
    <phoneticPr fontId="1" type="noConversion"/>
  </si>
  <si>
    <r>
      <t>B312.</t>
    </r>
    <r>
      <rPr>
        <b/>
        <sz val="16"/>
        <color rgb="FF0000FF"/>
        <rFont val="標楷體"/>
        <family val="4"/>
        <charset val="136"/>
      </rPr>
      <t>溫室環境溫度分析</t>
    </r>
    <phoneticPr fontId="1" type="noConversion"/>
  </si>
  <si>
    <r>
      <t>B311.</t>
    </r>
    <r>
      <rPr>
        <b/>
        <sz val="16"/>
        <color rgb="FF0000FF"/>
        <rFont val="標楷體"/>
        <family val="4"/>
        <charset val="136"/>
      </rPr>
      <t>颱風侵襲路徑分析</t>
    </r>
    <phoneticPr fontId="1" type="noConversion"/>
  </si>
  <si>
    <r>
      <t>B31.</t>
    </r>
    <r>
      <rPr>
        <b/>
        <sz val="16"/>
        <color rgb="FF0000FF"/>
        <rFont val="標楷體"/>
        <family val="4"/>
        <charset val="136"/>
      </rPr>
      <t>溫室環境綜合分析</t>
    </r>
    <phoneticPr fontId="1" type="noConversion"/>
  </si>
  <si>
    <r>
      <t>B2412.</t>
    </r>
    <r>
      <rPr>
        <b/>
        <sz val="16"/>
        <color rgb="FF0000FF"/>
        <rFont val="標楷體"/>
        <family val="4"/>
        <charset val="136"/>
      </rPr>
      <t>圓頂力霸溫室規範</t>
    </r>
    <phoneticPr fontId="1" type="noConversion"/>
  </si>
  <si>
    <r>
      <t>B2411.</t>
    </r>
    <r>
      <rPr>
        <b/>
        <sz val="16"/>
        <color rgb="FF0000FF"/>
        <rFont val="標楷體"/>
        <family val="4"/>
        <charset val="136"/>
      </rPr>
      <t>簡易型溫室規範</t>
    </r>
    <phoneticPr fontId="1" type="noConversion"/>
  </si>
  <si>
    <r>
      <t>B24.</t>
    </r>
    <r>
      <rPr>
        <b/>
        <sz val="16"/>
        <color rgb="FF0000FF"/>
        <rFont val="標楷體"/>
        <family val="4"/>
        <charset val="136"/>
      </rPr>
      <t>溫室基本設計資料庫</t>
    </r>
    <phoneticPr fontId="1" type="noConversion"/>
  </si>
  <si>
    <r>
      <t>B222.</t>
    </r>
    <r>
      <rPr>
        <b/>
        <sz val="16"/>
        <color rgb="FF0000FF"/>
        <rFont val="標楷體"/>
        <family val="4"/>
        <charset val="136"/>
      </rPr>
      <t>宜蘭縣</t>
    </r>
    <phoneticPr fontId="1" type="noConversion"/>
  </si>
  <si>
    <r>
      <t>B221.</t>
    </r>
    <r>
      <rPr>
        <b/>
        <sz val="16"/>
        <color rgb="FF0000FF"/>
        <rFont val="標楷體"/>
        <family val="4"/>
        <charset val="136"/>
      </rPr>
      <t>嘉義縣</t>
    </r>
    <phoneticPr fontId="1" type="noConversion"/>
  </si>
  <si>
    <r>
      <t>B22.</t>
    </r>
    <r>
      <rPr>
        <b/>
        <sz val="16"/>
        <color rgb="FF0000FF"/>
        <rFont val="標楷體"/>
        <family val="4"/>
        <charset val="136"/>
      </rPr>
      <t>溫室環境氣候資料庫</t>
    </r>
    <phoneticPr fontId="1" type="noConversion"/>
  </si>
  <si>
    <r>
      <rPr>
        <sz val="16"/>
        <color theme="1"/>
        <rFont val="標楷體"/>
        <family val="4"/>
        <charset val="136"/>
      </rPr>
      <t>台北市</t>
    </r>
    <phoneticPr fontId="1" type="noConversion"/>
  </si>
  <si>
    <r>
      <rPr>
        <sz val="16"/>
        <color theme="1"/>
        <rFont val="標楷體"/>
        <family val="4"/>
        <charset val="136"/>
      </rPr>
      <t>基隆市</t>
    </r>
    <phoneticPr fontId="1" type="noConversion"/>
  </si>
  <si>
    <r>
      <rPr>
        <sz val="16"/>
        <color theme="1"/>
        <rFont val="標楷體"/>
        <family val="4"/>
        <charset val="136"/>
      </rPr>
      <t>新北市</t>
    </r>
    <phoneticPr fontId="1" type="noConversion"/>
  </si>
  <si>
    <r>
      <t>B222.</t>
    </r>
    <r>
      <rPr>
        <u/>
        <sz val="16"/>
        <color theme="10"/>
        <rFont val="標楷體"/>
        <family val="4"/>
        <charset val="136"/>
      </rPr>
      <t>宜蘭縣</t>
    </r>
    <phoneticPr fontId="1" type="noConversion"/>
  </si>
  <si>
    <r>
      <rPr>
        <sz val="16"/>
        <color theme="1"/>
        <rFont val="標楷體"/>
        <family val="4"/>
        <charset val="136"/>
      </rPr>
      <t>桃園縣</t>
    </r>
    <phoneticPr fontId="1" type="noConversion"/>
  </si>
  <si>
    <r>
      <rPr>
        <sz val="16"/>
        <color theme="1"/>
        <rFont val="標楷體"/>
        <family val="4"/>
        <charset val="136"/>
      </rPr>
      <t>花蓮縣</t>
    </r>
    <phoneticPr fontId="1" type="noConversion"/>
  </si>
  <si>
    <r>
      <rPr>
        <sz val="16"/>
        <color theme="1"/>
        <rFont val="標楷體"/>
        <family val="4"/>
        <charset val="136"/>
      </rPr>
      <t>新竹縣</t>
    </r>
    <phoneticPr fontId="1" type="noConversion"/>
  </si>
  <si>
    <r>
      <rPr>
        <sz val="16"/>
        <color theme="1"/>
        <rFont val="標楷體"/>
        <family val="4"/>
        <charset val="136"/>
      </rPr>
      <t>台東縣</t>
    </r>
    <phoneticPr fontId="1" type="noConversion"/>
  </si>
  <si>
    <r>
      <rPr>
        <sz val="16"/>
        <color theme="1"/>
        <rFont val="標楷體"/>
        <family val="4"/>
        <charset val="136"/>
      </rPr>
      <t>苗栗縣</t>
    </r>
    <phoneticPr fontId="1" type="noConversion"/>
  </si>
  <si>
    <r>
      <rPr>
        <sz val="16"/>
        <color theme="1"/>
        <rFont val="標楷體"/>
        <family val="4"/>
        <charset val="136"/>
      </rPr>
      <t>澎湖縣</t>
    </r>
    <phoneticPr fontId="1" type="noConversion"/>
  </si>
  <si>
    <r>
      <rPr>
        <sz val="16"/>
        <color theme="1"/>
        <rFont val="標楷體"/>
        <family val="4"/>
        <charset val="136"/>
      </rPr>
      <t>台中市</t>
    </r>
    <phoneticPr fontId="1" type="noConversion"/>
  </si>
  <si>
    <r>
      <rPr>
        <sz val="16"/>
        <color theme="1"/>
        <rFont val="標楷體"/>
        <family val="4"/>
        <charset val="136"/>
      </rPr>
      <t>金門縣</t>
    </r>
    <phoneticPr fontId="1" type="noConversion"/>
  </si>
  <si>
    <r>
      <rPr>
        <sz val="16"/>
        <color theme="1"/>
        <rFont val="標楷體"/>
        <family val="4"/>
        <charset val="136"/>
      </rPr>
      <t>彰化縣</t>
    </r>
    <phoneticPr fontId="1" type="noConversion"/>
  </si>
  <si>
    <r>
      <rPr>
        <sz val="16"/>
        <color theme="1"/>
        <rFont val="標楷體"/>
        <family val="4"/>
        <charset val="136"/>
      </rPr>
      <t>馬祖</t>
    </r>
    <phoneticPr fontId="1" type="noConversion"/>
  </si>
  <si>
    <r>
      <rPr>
        <sz val="16"/>
        <color theme="1"/>
        <rFont val="標楷體"/>
        <family val="4"/>
        <charset val="136"/>
      </rPr>
      <t>雲林縣</t>
    </r>
    <phoneticPr fontId="1" type="noConversion"/>
  </si>
  <si>
    <r>
      <t>B221.</t>
    </r>
    <r>
      <rPr>
        <u/>
        <sz val="16"/>
        <color theme="10"/>
        <rFont val="標楷體"/>
        <family val="4"/>
        <charset val="136"/>
      </rPr>
      <t>嘉義縣</t>
    </r>
    <phoneticPr fontId="1" type="noConversion"/>
  </si>
  <si>
    <r>
      <rPr>
        <sz val="16"/>
        <color theme="1"/>
        <rFont val="標楷體"/>
        <family val="4"/>
        <charset val="136"/>
      </rPr>
      <t>台南市</t>
    </r>
    <phoneticPr fontId="1" type="noConversion"/>
  </si>
  <si>
    <r>
      <rPr>
        <sz val="16"/>
        <color theme="1"/>
        <rFont val="標楷體"/>
        <family val="4"/>
        <charset val="136"/>
      </rPr>
      <t>高雄市</t>
    </r>
    <phoneticPr fontId="1" type="noConversion"/>
  </si>
  <si>
    <r>
      <rPr>
        <sz val="16"/>
        <color theme="1"/>
        <rFont val="標楷體"/>
        <family val="4"/>
        <charset val="136"/>
      </rPr>
      <t>屏東縣</t>
    </r>
    <phoneticPr fontId="1" type="noConversion"/>
  </si>
  <si>
    <r>
      <t>B213.</t>
    </r>
    <r>
      <rPr>
        <b/>
        <sz val="16"/>
        <color rgb="FF0000FF"/>
        <rFont val="標楷體"/>
        <family val="4"/>
        <charset val="136"/>
      </rPr>
      <t>花卉作業系統</t>
    </r>
    <phoneticPr fontId="1" type="noConversion"/>
  </si>
  <si>
    <r>
      <t>B212.</t>
    </r>
    <r>
      <rPr>
        <b/>
        <sz val="16"/>
        <color rgb="FF0000FF"/>
        <rFont val="標楷體"/>
        <family val="4"/>
        <charset val="136"/>
      </rPr>
      <t>水果作業系統</t>
    </r>
    <phoneticPr fontId="1" type="noConversion"/>
  </si>
  <si>
    <r>
      <t>B211.</t>
    </r>
    <r>
      <rPr>
        <b/>
        <sz val="16"/>
        <color rgb="FF0000FF"/>
        <rFont val="標楷體"/>
        <family val="4"/>
        <charset val="136"/>
      </rPr>
      <t>蔬菜作業系統</t>
    </r>
    <phoneticPr fontId="1" type="noConversion"/>
  </si>
  <si>
    <r>
      <t>B21.</t>
    </r>
    <r>
      <rPr>
        <b/>
        <sz val="16"/>
        <color rgb="FF0000FF"/>
        <rFont val="標楷體"/>
        <family val="4"/>
        <charset val="136"/>
      </rPr>
      <t>溫室作物技術資料庫</t>
    </r>
    <phoneticPr fontId="1" type="noConversion"/>
  </si>
  <si>
    <r>
      <t>B1.</t>
    </r>
    <r>
      <rPr>
        <b/>
        <sz val="16"/>
        <color rgb="FF0000FF"/>
        <rFont val="標楷體"/>
        <family val="4"/>
        <charset val="136"/>
      </rPr>
      <t>溫室資訊輸入系統</t>
    </r>
    <phoneticPr fontId="1" type="noConversion"/>
  </si>
  <si>
    <r>
      <t>B.</t>
    </r>
    <r>
      <rPr>
        <b/>
        <sz val="26"/>
        <color rgb="FF0000CC"/>
        <rFont val="標楷體"/>
        <family val="4"/>
        <charset val="136"/>
      </rPr>
      <t>智慧化溫室總體規劃系統</t>
    </r>
    <phoneticPr fontId="1" type="noConversion"/>
  </si>
  <si>
    <r>
      <rPr>
        <sz val="14"/>
        <color theme="1"/>
        <rFont val="標楷體"/>
        <family val="4"/>
        <charset val="136"/>
      </rPr>
      <t>編號</t>
    </r>
    <phoneticPr fontId="1" type="noConversion"/>
  </si>
  <si>
    <r>
      <rPr>
        <sz val="14"/>
        <color theme="1"/>
        <rFont val="標楷體"/>
        <family val="4"/>
        <charset val="136"/>
      </rPr>
      <t>次系統</t>
    </r>
    <phoneticPr fontId="1" type="noConversion"/>
  </si>
  <si>
    <r>
      <rPr>
        <b/>
        <sz val="16"/>
        <color rgb="FF0000CC"/>
        <rFont val="標楷體"/>
        <family val="4"/>
        <charset val="136"/>
      </rPr>
      <t>溫室資訊輸入系統</t>
    </r>
    <phoneticPr fontId="1" type="noConversion"/>
  </si>
  <si>
    <r>
      <t>B11.</t>
    </r>
    <r>
      <rPr>
        <b/>
        <u/>
        <sz val="16"/>
        <color rgb="FF0000FF"/>
        <rFont val="標楷體"/>
        <family val="4"/>
        <charset val="136"/>
      </rPr>
      <t>溫室資訊輸入</t>
    </r>
    <phoneticPr fontId="1" type="noConversion"/>
  </si>
  <si>
    <r>
      <rPr>
        <b/>
        <sz val="16"/>
        <color rgb="FF0000CC"/>
        <rFont val="標楷體"/>
        <family val="4"/>
        <charset val="136"/>
      </rPr>
      <t>溫室技術資料系統</t>
    </r>
    <phoneticPr fontId="1" type="noConversion"/>
  </si>
  <si>
    <r>
      <t>B21.</t>
    </r>
    <r>
      <rPr>
        <b/>
        <u/>
        <sz val="16"/>
        <color rgb="FF0000FF"/>
        <rFont val="標楷體"/>
        <family val="4"/>
        <charset val="136"/>
      </rPr>
      <t>溫室作物技術資料庫</t>
    </r>
    <phoneticPr fontId="1" type="noConversion"/>
  </si>
  <si>
    <r>
      <t>B22.</t>
    </r>
    <r>
      <rPr>
        <b/>
        <u/>
        <sz val="16"/>
        <color rgb="FF0000FF"/>
        <rFont val="標楷體"/>
        <family val="4"/>
        <charset val="136"/>
      </rPr>
      <t>溫室環境氣候資料庫</t>
    </r>
    <phoneticPr fontId="1" type="noConversion"/>
  </si>
  <si>
    <r>
      <t>B23.</t>
    </r>
    <r>
      <rPr>
        <b/>
        <u/>
        <sz val="16"/>
        <color rgb="FF0000FF"/>
        <rFont val="標楷體"/>
        <family val="4"/>
        <charset val="136"/>
      </rPr>
      <t>溫室地形地貌資料庫</t>
    </r>
    <phoneticPr fontId="1" type="noConversion"/>
  </si>
  <si>
    <r>
      <t>B24.</t>
    </r>
    <r>
      <rPr>
        <b/>
        <u/>
        <sz val="16"/>
        <color rgb="FF0000FF"/>
        <rFont val="標楷體"/>
        <family val="4"/>
        <charset val="136"/>
      </rPr>
      <t>溫室基本設計資料庫</t>
    </r>
    <phoneticPr fontId="1" type="noConversion"/>
  </si>
  <si>
    <r>
      <rPr>
        <b/>
        <sz val="16"/>
        <color rgb="FF0000CC"/>
        <rFont val="標楷體"/>
        <family val="4"/>
        <charset val="136"/>
      </rPr>
      <t>溫室研究分析系統</t>
    </r>
    <phoneticPr fontId="1" type="noConversion"/>
  </si>
  <si>
    <r>
      <t>B31.</t>
    </r>
    <r>
      <rPr>
        <b/>
        <u/>
        <sz val="16"/>
        <color rgb="FF0000FF"/>
        <rFont val="標楷體"/>
        <family val="4"/>
        <charset val="136"/>
      </rPr>
      <t>溫室環境綜合分析</t>
    </r>
    <phoneticPr fontId="1" type="noConversion"/>
  </si>
  <si>
    <r>
      <t>B32.</t>
    </r>
    <r>
      <rPr>
        <b/>
        <u/>
        <sz val="16"/>
        <color rgb="FF0000FF"/>
        <rFont val="標楷體"/>
        <family val="4"/>
        <charset val="136"/>
      </rPr>
      <t>溫室設計綜合分析</t>
    </r>
    <phoneticPr fontId="1" type="noConversion"/>
  </si>
  <si>
    <r>
      <rPr>
        <b/>
        <sz val="16"/>
        <color rgb="FF0000CC"/>
        <rFont val="標楷體"/>
        <family val="4"/>
        <charset val="136"/>
      </rPr>
      <t>溫室規劃設計系統</t>
    </r>
    <phoneticPr fontId="1" type="noConversion"/>
  </si>
  <si>
    <r>
      <t>B41.</t>
    </r>
    <r>
      <rPr>
        <b/>
        <u/>
        <sz val="16"/>
        <color rgb="FF0000FF"/>
        <rFont val="標楷體"/>
        <family val="4"/>
        <charset val="136"/>
      </rPr>
      <t>環境需求設計</t>
    </r>
    <phoneticPr fontId="1" type="noConversion"/>
  </si>
  <si>
    <r>
      <t>B42.</t>
    </r>
    <r>
      <rPr>
        <b/>
        <u/>
        <sz val="16"/>
        <color rgb="FF0000FF"/>
        <rFont val="標楷體"/>
        <family val="4"/>
        <charset val="136"/>
      </rPr>
      <t>溫室基本設計</t>
    </r>
    <phoneticPr fontId="1" type="noConversion"/>
  </si>
  <si>
    <r>
      <t>B44.</t>
    </r>
    <r>
      <rPr>
        <b/>
        <u/>
        <sz val="16"/>
        <color rgb="FF0000FF"/>
        <rFont val="標楷體"/>
        <family val="4"/>
        <charset val="136"/>
      </rPr>
      <t>溫室防颱強化設計</t>
    </r>
    <phoneticPr fontId="1" type="noConversion"/>
  </si>
  <si>
    <r>
      <t>B45.</t>
    </r>
    <r>
      <rPr>
        <b/>
        <u/>
        <sz val="16"/>
        <color rgb="FF0000FF"/>
        <rFont val="標楷體"/>
        <family val="4"/>
        <charset val="136"/>
      </rPr>
      <t>溫室處理設計</t>
    </r>
    <phoneticPr fontId="1" type="noConversion"/>
  </si>
  <si>
    <r>
      <t>B46.</t>
    </r>
    <r>
      <rPr>
        <b/>
        <u/>
        <sz val="16"/>
        <color rgb="FF0000FF"/>
        <rFont val="標楷體"/>
        <family val="4"/>
        <charset val="136"/>
      </rPr>
      <t>溫室工程設計</t>
    </r>
    <phoneticPr fontId="1" type="noConversion"/>
  </si>
  <si>
    <r>
      <t>B47.</t>
    </r>
    <r>
      <rPr>
        <b/>
        <u/>
        <sz val="16"/>
        <color rgb="FF0000FF"/>
        <rFont val="標楷體"/>
        <family val="4"/>
        <charset val="136"/>
      </rPr>
      <t>溫室成本設計</t>
    </r>
    <phoneticPr fontId="1" type="noConversion"/>
  </si>
  <si>
    <r>
      <rPr>
        <b/>
        <sz val="16"/>
        <color rgb="FF0000CC"/>
        <rFont val="標楷體"/>
        <family val="4"/>
        <charset val="136"/>
      </rPr>
      <t>溫室資訊輸出系統</t>
    </r>
    <phoneticPr fontId="1" type="noConversion"/>
  </si>
  <si>
    <r>
      <t>B51.</t>
    </r>
    <r>
      <rPr>
        <b/>
        <u/>
        <sz val="16"/>
        <color rgb="FF0000FF"/>
        <rFont val="標楷體"/>
        <family val="4"/>
        <charset val="136"/>
      </rPr>
      <t>溫室工程圖</t>
    </r>
    <phoneticPr fontId="1" type="noConversion"/>
  </si>
  <si>
    <r>
      <t>B52.</t>
    </r>
    <r>
      <rPr>
        <b/>
        <u/>
        <sz val="16"/>
        <color rgb="FF0000FF"/>
        <rFont val="標楷體"/>
        <family val="4"/>
        <charset val="136"/>
      </rPr>
      <t>溫室資材表</t>
    </r>
    <phoneticPr fontId="1" type="noConversion"/>
  </si>
  <si>
    <r>
      <t>B53.</t>
    </r>
    <r>
      <rPr>
        <b/>
        <u/>
        <sz val="16"/>
        <color rgb="FF0000FF"/>
        <rFont val="標楷體"/>
        <family val="4"/>
        <charset val="136"/>
      </rPr>
      <t>溫室進度表</t>
    </r>
    <phoneticPr fontId="1" type="noConversion"/>
  </si>
  <si>
    <r>
      <rPr>
        <sz val="14"/>
        <color theme="1"/>
        <rFont val="標楷體"/>
        <family val="4"/>
        <charset val="136"/>
      </rPr>
      <t>子系統</t>
    </r>
    <r>
      <rPr>
        <sz val="14"/>
        <color theme="1"/>
        <rFont val="Times New Roman"/>
        <family val="1"/>
      </rPr>
      <t xml:space="preserve"> </t>
    </r>
    <phoneticPr fontId="1" type="noConversion"/>
  </si>
  <si>
    <t>蔬菜作業系統</t>
    <phoneticPr fontId="1" type="noConversion"/>
  </si>
  <si>
    <t>花卉作業系統</t>
    <phoneticPr fontId="1" type="noConversion"/>
  </si>
  <si>
    <r>
      <t>Venlo</t>
    </r>
    <r>
      <rPr>
        <u/>
        <sz val="14"/>
        <color theme="10"/>
        <rFont val="標楷體"/>
        <family val="4"/>
        <charset val="136"/>
      </rPr>
      <t>力霸型規範</t>
    </r>
    <phoneticPr fontId="1" type="noConversion"/>
  </si>
  <si>
    <t>洪培峯</t>
    <phoneticPr fontId="1" type="noConversion"/>
  </si>
  <si>
    <t>太保市</t>
    <phoneticPr fontId="1" type="noConversion"/>
  </si>
  <si>
    <t>嘉義縣太保市新埤段新埤小段837地號</t>
    <phoneticPr fontId="1" type="noConversion"/>
  </si>
  <si>
    <t>23.483095, 120.338510</t>
    <phoneticPr fontId="1" type="noConversion"/>
  </si>
  <si>
    <t>平原</t>
  </si>
  <si>
    <t>簡易型溫室</t>
    <phoneticPr fontId="1" type="noConversion"/>
  </si>
  <si>
    <r>
      <t>B2421.</t>
    </r>
    <r>
      <rPr>
        <b/>
        <sz val="16"/>
        <color rgb="FF0000FF"/>
        <rFont val="標楷體"/>
        <family val="4"/>
        <charset val="136"/>
      </rPr>
      <t>簡易型溫室專業</t>
    </r>
    <phoneticPr fontId="1" type="noConversion"/>
  </si>
  <si>
    <t>型式</t>
    <phoneticPr fontId="1" type="noConversion"/>
  </si>
  <si>
    <t>簡易型溫室</t>
    <phoneticPr fontId="1" type="noConversion"/>
  </si>
  <si>
    <t>山牆面斜撐安裝</t>
    <phoneticPr fontId="1" type="noConversion"/>
  </si>
  <si>
    <t>地錨安裝圖</t>
    <phoneticPr fontId="1" type="noConversion"/>
  </si>
  <si>
    <t>編號</t>
    <phoneticPr fontId="1" type="noConversion"/>
  </si>
  <si>
    <t>風力分級名稱</t>
    <phoneticPr fontId="1" type="noConversion"/>
  </si>
  <si>
    <t>蒲福風級數</t>
    <phoneticPr fontId="1" type="noConversion"/>
  </si>
  <si>
    <r>
      <t>承受風速</t>
    </r>
    <r>
      <rPr>
        <sz val="14"/>
        <rFont val="Times New Roman"/>
        <family val="1"/>
      </rPr>
      <t>(m/s)</t>
    </r>
    <phoneticPr fontId="1" type="noConversion"/>
  </si>
  <si>
    <t>G10</t>
    <phoneticPr fontId="1" type="noConversion"/>
  </si>
  <si>
    <t>名稱</t>
    <phoneticPr fontId="1" type="noConversion"/>
  </si>
  <si>
    <t>數值內容</t>
    <phoneticPr fontId="1" type="noConversion"/>
  </si>
  <si>
    <r>
      <t>單棟跨距</t>
    </r>
    <r>
      <rPr>
        <sz val="14"/>
        <rFont val="Times New Roman"/>
        <family val="1"/>
      </rPr>
      <t>(cm)</t>
    </r>
    <phoneticPr fontId="1" type="noConversion"/>
  </si>
  <si>
    <t>6~6.9</t>
    <phoneticPr fontId="1" type="noConversion"/>
  </si>
  <si>
    <t>7~8.1</t>
    <phoneticPr fontId="1" type="noConversion"/>
  </si>
  <si>
    <t>8.2~9</t>
    <phoneticPr fontId="1" type="noConversion"/>
  </si>
  <si>
    <t>溫室使用構件尺寸</t>
    <phoneticPr fontId="1" type="noConversion"/>
  </si>
  <si>
    <t>溫室尺寸規格示意圖</t>
    <phoneticPr fontId="1" type="noConversion"/>
  </si>
  <si>
    <t>地錨安裝間距</t>
    <phoneticPr fontId="1" type="noConversion"/>
  </si>
  <si>
    <t>構件代號</t>
    <phoneticPr fontId="1" type="noConversion"/>
  </si>
  <si>
    <r>
      <rPr>
        <sz val="14"/>
        <color theme="1"/>
        <rFont val="標楷體"/>
        <family val="4"/>
        <charset val="136"/>
      </rPr>
      <t>規格</t>
    </r>
    <r>
      <rPr>
        <sz val="14"/>
        <color theme="1"/>
        <rFont val="Times New Roman"/>
        <family val="1"/>
      </rPr>
      <t>(mm)</t>
    </r>
    <phoneticPr fontId="1" type="noConversion"/>
  </si>
  <si>
    <t>英制規格</t>
    <phoneticPr fontId="1" type="noConversion"/>
  </si>
  <si>
    <t>SC1</t>
    <phoneticPr fontId="1" type="noConversion"/>
  </si>
  <si>
    <t>Ø42.1 × 1.8t</t>
    <phoneticPr fontId="1" type="noConversion"/>
  </si>
  <si>
    <t>1-1/4"</t>
    <phoneticPr fontId="1" type="noConversion"/>
  </si>
  <si>
    <t>SC2</t>
    <phoneticPr fontId="1" type="noConversion"/>
  </si>
  <si>
    <t>Ø33.5 × 1.8t</t>
    <phoneticPr fontId="1" type="noConversion"/>
  </si>
  <si>
    <t>1"</t>
    <phoneticPr fontId="1" type="noConversion"/>
  </si>
  <si>
    <t>Ø26.8 × 1.6t</t>
    <phoneticPr fontId="1" type="noConversion"/>
  </si>
  <si>
    <t>3/4"</t>
    <phoneticPr fontId="1" type="noConversion"/>
  </si>
  <si>
    <t>SB1</t>
    <phoneticPr fontId="1" type="noConversion"/>
  </si>
  <si>
    <t>SB2</t>
    <phoneticPr fontId="1" type="noConversion"/>
  </si>
  <si>
    <t>Ø21.3 × 1.6t</t>
    <phoneticPr fontId="1" type="noConversion"/>
  </si>
  <si>
    <t>1/2"</t>
    <phoneticPr fontId="1" type="noConversion"/>
  </si>
  <si>
    <t>溫室規格尺寸</t>
    <phoneticPr fontId="1" type="noConversion"/>
  </si>
  <si>
    <r>
      <t>面寬</t>
    </r>
    <r>
      <rPr>
        <sz val="14"/>
        <color theme="1"/>
        <rFont val="Times New Roman"/>
        <family val="1"/>
      </rPr>
      <t>(m)</t>
    </r>
    <phoneticPr fontId="1" type="noConversion"/>
  </si>
  <si>
    <r>
      <t>側高</t>
    </r>
    <r>
      <rPr>
        <sz val="14"/>
        <color theme="1"/>
        <rFont val="Times New Roman"/>
        <family val="1"/>
      </rPr>
      <t>(m)</t>
    </r>
    <phoneticPr fontId="1" type="noConversion"/>
  </si>
  <si>
    <r>
      <t>總高</t>
    </r>
    <r>
      <rPr>
        <sz val="14"/>
        <color theme="1"/>
        <rFont val="Times New Roman"/>
        <family val="1"/>
      </rPr>
      <t>(cm)</t>
    </r>
    <phoneticPr fontId="1" type="noConversion"/>
  </si>
  <si>
    <r>
      <t>入土深度</t>
    </r>
    <r>
      <rPr>
        <sz val="14"/>
        <color theme="1"/>
        <rFont val="Times New Roman"/>
        <family val="1"/>
      </rPr>
      <t>(cm)</t>
    </r>
    <phoneticPr fontId="1" type="noConversion"/>
  </si>
  <si>
    <t>大棚架</t>
    <phoneticPr fontId="1" type="noConversion"/>
  </si>
  <si>
    <t>輔助柱</t>
    <phoneticPr fontId="1" type="noConversion"/>
  </si>
  <si>
    <t>橫樑</t>
    <phoneticPr fontId="1" type="noConversion"/>
  </si>
  <si>
    <t>加強樑</t>
    <phoneticPr fontId="1" type="noConversion"/>
  </si>
  <si>
    <r>
      <t>A</t>
    </r>
    <r>
      <rPr>
        <sz val="14"/>
        <color theme="1"/>
        <rFont val="標楷體"/>
        <family val="4"/>
        <charset val="136"/>
      </rPr>
      <t>型溫室</t>
    </r>
    <phoneticPr fontId="1" type="noConversion"/>
  </si>
  <si>
    <t>255~240</t>
    <phoneticPr fontId="1" type="noConversion"/>
  </si>
  <si>
    <t>480~510</t>
    <phoneticPr fontId="1" type="noConversion"/>
  </si>
  <si>
    <t>75±10</t>
    <phoneticPr fontId="1" type="noConversion"/>
  </si>
  <si>
    <r>
      <t>5</t>
    </r>
    <r>
      <rPr>
        <sz val="14"/>
        <color theme="1"/>
        <rFont val="標楷體"/>
        <family val="4"/>
        <charset val="136"/>
      </rPr>
      <t>支</t>
    </r>
    <r>
      <rPr>
        <sz val="14"/>
        <color theme="1"/>
        <rFont val="Times New Roman"/>
        <family val="1"/>
      </rPr>
      <t>SC2</t>
    </r>
    <phoneticPr fontId="1" type="noConversion"/>
  </si>
  <si>
    <r>
      <t>2</t>
    </r>
    <r>
      <rPr>
        <sz val="14"/>
        <color theme="1"/>
        <rFont val="標楷體"/>
        <family val="4"/>
        <charset val="136"/>
      </rPr>
      <t>排</t>
    </r>
    <r>
      <rPr>
        <sz val="14"/>
        <color theme="1"/>
        <rFont val="Times New Roman"/>
        <family val="1"/>
      </rPr>
      <t>SB3</t>
    </r>
    <phoneticPr fontId="1" type="noConversion"/>
  </si>
  <si>
    <t>-</t>
    <phoneticPr fontId="1" type="noConversion"/>
  </si>
  <si>
    <r>
      <t>B</t>
    </r>
    <r>
      <rPr>
        <sz val="14"/>
        <color theme="1"/>
        <rFont val="標楷體"/>
        <family val="4"/>
        <charset val="136"/>
      </rPr>
      <t>型溫室</t>
    </r>
    <phoneticPr fontId="1" type="noConversion"/>
  </si>
  <si>
    <r>
      <t>6</t>
    </r>
    <r>
      <rPr>
        <sz val="14"/>
        <color theme="1"/>
        <rFont val="標楷體"/>
        <family val="4"/>
        <charset val="136"/>
      </rPr>
      <t>支</t>
    </r>
    <r>
      <rPr>
        <sz val="14"/>
        <color theme="1"/>
        <rFont val="Times New Roman"/>
        <family val="1"/>
      </rPr>
      <t>SC1</t>
    </r>
    <phoneticPr fontId="1" type="noConversion"/>
  </si>
  <si>
    <r>
      <t>2</t>
    </r>
    <r>
      <rPr>
        <sz val="14"/>
        <color theme="1"/>
        <rFont val="標楷體"/>
        <family val="4"/>
        <charset val="136"/>
      </rPr>
      <t>排</t>
    </r>
    <r>
      <rPr>
        <sz val="14"/>
        <color theme="1"/>
        <rFont val="Times New Roman"/>
        <family val="1"/>
      </rPr>
      <t>SB2</t>
    </r>
    <phoneticPr fontId="1" type="noConversion"/>
  </si>
  <si>
    <r>
      <t>C</t>
    </r>
    <r>
      <rPr>
        <sz val="14"/>
        <color theme="1"/>
        <rFont val="標楷體"/>
        <family val="4"/>
        <charset val="136"/>
      </rPr>
      <t>型溫室</t>
    </r>
    <phoneticPr fontId="1" type="noConversion"/>
  </si>
  <si>
    <r>
      <t>7</t>
    </r>
    <r>
      <rPr>
        <sz val="14"/>
        <color theme="1"/>
        <rFont val="標楷體"/>
        <family val="4"/>
        <charset val="136"/>
      </rPr>
      <t>支</t>
    </r>
    <r>
      <rPr>
        <sz val="14"/>
        <color theme="1"/>
        <rFont val="Times New Roman"/>
        <family val="1"/>
      </rPr>
      <t>SC1</t>
    </r>
    <phoneticPr fontId="1" type="noConversion"/>
  </si>
  <si>
    <t>正立面圖</t>
    <phoneticPr fontId="1" type="noConversion"/>
  </si>
  <si>
    <t>背立面圖</t>
    <phoneticPr fontId="1" type="noConversion"/>
  </si>
  <si>
    <t>綜合判斷</t>
    <phoneticPr fontId="1" type="noConversion"/>
  </si>
  <si>
    <r>
      <t xml:space="preserve">最大陣風
</t>
    </r>
    <r>
      <rPr>
        <sz val="14"/>
        <rFont val="Times New Roman"/>
        <family val="1"/>
      </rPr>
      <t>(m/s)</t>
    </r>
    <phoneticPr fontId="1" type="noConversion"/>
  </si>
  <si>
    <r>
      <t xml:space="preserve">最大陣風
</t>
    </r>
    <r>
      <rPr>
        <sz val="14"/>
        <rFont val="Times New Roman"/>
        <family val="1"/>
      </rPr>
      <t>(</t>
    </r>
    <r>
      <rPr>
        <sz val="14"/>
        <rFont val="標楷體"/>
        <family val="4"/>
        <charset val="136"/>
      </rPr>
      <t>級</t>
    </r>
    <r>
      <rPr>
        <sz val="14"/>
        <rFont val="Times New Roman"/>
        <family val="1"/>
      </rPr>
      <t>)</t>
    </r>
    <phoneticPr fontId="1" type="noConversion"/>
  </si>
  <si>
    <t>溫室位置</t>
    <phoneticPr fontId="1" type="noConversion"/>
  </si>
  <si>
    <r>
      <rPr>
        <sz val="14"/>
        <color theme="1"/>
        <rFont val="標楷體"/>
        <family val="4"/>
        <charset val="136"/>
      </rPr>
      <t>自然通風</t>
    </r>
    <r>
      <rPr>
        <sz val="14"/>
        <color theme="1"/>
        <rFont val="Times New Roman"/>
        <family val="1"/>
      </rPr>
      <t>:</t>
    </r>
    <r>
      <rPr>
        <sz val="14"/>
        <color theme="1"/>
        <rFont val="標楷體"/>
        <family val="4"/>
        <charset val="136"/>
      </rPr>
      <t>在溫室周圍或頂層留通風窗</t>
    </r>
    <r>
      <rPr>
        <sz val="14"/>
        <color theme="1"/>
        <rFont val="Times New Roman"/>
        <family val="1"/>
      </rPr>
      <t>(</t>
    </r>
    <r>
      <rPr>
        <sz val="14"/>
        <color theme="1"/>
        <rFont val="標楷體"/>
        <family val="4"/>
        <charset val="136"/>
      </rPr>
      <t>側窗與天窗</t>
    </r>
    <r>
      <rPr>
        <sz val="14"/>
        <color theme="1"/>
        <rFont val="Times New Roman"/>
        <family val="1"/>
      </rPr>
      <t>)</t>
    </r>
    <r>
      <rPr>
        <sz val="14"/>
        <color theme="1"/>
        <rFont val="標楷體"/>
        <family val="4"/>
        <charset val="136"/>
      </rPr>
      <t>，當室內溫度由於日照而提高時，熱空氣會因密度降低而上浮由天窗溢出，而外界空氣由側窗流入造成對流，當溫度差異愈大時其流速愈快，但室溫仍將大於外溫。</t>
    </r>
    <phoneticPr fontId="1" type="noConversion"/>
  </si>
  <si>
    <r>
      <rPr>
        <sz val="14"/>
        <color theme="1"/>
        <rFont val="標楷體"/>
        <family val="4"/>
        <charset val="136"/>
      </rPr>
      <t>強制通風</t>
    </r>
    <r>
      <rPr>
        <sz val="14"/>
        <color theme="1"/>
        <rFont val="Times New Roman"/>
        <family val="1"/>
      </rPr>
      <t>:</t>
    </r>
    <r>
      <rPr>
        <sz val="14"/>
        <color theme="1"/>
        <rFont val="標楷體"/>
        <family val="4"/>
        <charset val="136"/>
      </rPr>
      <t>機械式通風一般使用風機將溫室內熱空氣強制抽出同時由於壓差而將大氣吸入達到通風之效果。此系統需維持適當的氣密性才能使空氣由進氣口進，由排氣風機出。</t>
    </r>
    <phoneticPr fontId="1" type="noConversion"/>
  </si>
  <si>
    <r>
      <rPr>
        <sz val="14"/>
        <color theme="1"/>
        <rFont val="標楷體"/>
        <family val="4"/>
        <charset val="136"/>
      </rPr>
      <t>風機濕簾法與風機水霧法</t>
    </r>
    <r>
      <rPr>
        <sz val="14"/>
        <color theme="1"/>
        <rFont val="Times New Roman"/>
        <family val="1"/>
      </rPr>
      <t>:</t>
    </r>
    <r>
      <rPr>
        <sz val="14"/>
        <color theme="1"/>
        <rFont val="標楷體"/>
        <family val="4"/>
        <charset val="136"/>
      </rPr>
      <t>風機濕簾</t>
    </r>
    <r>
      <rPr>
        <sz val="14"/>
        <color theme="1"/>
        <rFont val="Times New Roman"/>
        <family val="1"/>
      </rPr>
      <t>(</t>
    </r>
    <r>
      <rPr>
        <sz val="14"/>
        <color theme="1"/>
        <rFont val="標楷體"/>
        <family val="4"/>
        <charset val="136"/>
      </rPr>
      <t>水牆</t>
    </r>
    <r>
      <rPr>
        <sz val="14"/>
        <color theme="1"/>
        <rFont val="Times New Roman"/>
        <family val="1"/>
      </rPr>
      <t>)</t>
    </r>
    <r>
      <rPr>
        <sz val="14"/>
        <color theme="1"/>
        <rFont val="標楷體"/>
        <family val="4"/>
        <charset val="136"/>
      </rPr>
      <t>法之設計優良者其效率在</t>
    </r>
    <r>
      <rPr>
        <sz val="14"/>
        <color theme="1"/>
        <rFont val="Times New Roman"/>
        <family val="1"/>
      </rPr>
      <t>75- 85%</t>
    </r>
    <r>
      <rPr>
        <sz val="14"/>
        <color theme="1"/>
        <rFont val="標楷體"/>
        <family val="4"/>
        <charset val="136"/>
      </rPr>
      <t>，風量過大、風速過高，將降低空氣與溼簾之接觸時間，效率反而下降。水牆之安置可有多種方法，一般以直立式最為常見。</t>
    </r>
    <phoneticPr fontId="1" type="noConversion"/>
  </si>
  <si>
    <r>
      <rPr>
        <sz val="14"/>
        <color theme="1"/>
        <rFont val="標楷體"/>
        <family val="4"/>
        <charset val="136"/>
      </rPr>
      <t>風機微霧法</t>
    </r>
    <r>
      <rPr>
        <sz val="14"/>
        <color theme="1"/>
        <rFont val="Times New Roman"/>
        <family val="1"/>
      </rPr>
      <t>:</t>
    </r>
    <r>
      <rPr>
        <sz val="14"/>
        <color theme="1"/>
        <rFont val="標楷體"/>
        <family val="4"/>
        <charset val="136"/>
      </rPr>
      <t>簡稱噴霧法，噴霧系統所噴出之霧氣是由水蒸氣和極細小的水滴所組成的，傳統的霧氣產生方式是水經由高壓過程通過極小的洞（噴嘴）所產生的「雲」，霧氣的產生亦可透過超音波振盪方式或旋轉離心方式產生。</t>
    </r>
    <phoneticPr fontId="1" type="noConversion"/>
  </si>
  <si>
    <r>
      <rPr>
        <sz val="14"/>
        <color theme="1"/>
        <rFont val="標楷體"/>
        <family val="4"/>
        <charset val="136"/>
      </rPr>
      <t>冷凍循環法</t>
    </r>
    <r>
      <rPr>
        <sz val="14"/>
        <color theme="1"/>
        <rFont val="Times New Roman"/>
        <family val="1"/>
      </rPr>
      <t>:</t>
    </r>
    <r>
      <rPr>
        <sz val="14"/>
        <color theme="1"/>
        <rFont val="標楷體"/>
        <family val="4"/>
        <charset val="136"/>
      </rPr>
      <t>使用壓縮式冷氣機為是最有效的降溫方法，但耗電量高，除非符合經濟效益一般不予考慮。吸收式冷卻系統之冷卻能力雖遜於壓縮式冷氣系統，</t>
    </r>
    <r>
      <rPr>
        <sz val="14"/>
        <color theme="1"/>
        <rFont val="Times New Roman"/>
        <family val="1"/>
      </rPr>
      <t xml:space="preserve"> </t>
    </r>
    <r>
      <rPr>
        <sz val="14"/>
        <color theme="1"/>
        <rFont val="標楷體"/>
        <family val="4"/>
        <charset val="136"/>
      </rPr>
      <t>但其耗電量甚低</t>
    </r>
    <r>
      <rPr>
        <sz val="14"/>
        <color theme="1"/>
        <rFont val="Times New Roman"/>
        <family val="1"/>
      </rPr>
      <t>(</t>
    </r>
    <r>
      <rPr>
        <sz val="14"/>
        <color theme="1"/>
        <rFont val="標楷體"/>
        <family val="4"/>
        <charset val="136"/>
      </rPr>
      <t>小於前者之</t>
    </r>
    <r>
      <rPr>
        <sz val="14"/>
        <color theme="1"/>
        <rFont val="Times New Roman"/>
        <family val="1"/>
      </rPr>
      <t>5%)</t>
    </r>
    <r>
      <rPr>
        <sz val="14"/>
        <color theme="1"/>
        <rFont val="標楷體"/>
        <family val="4"/>
        <charset val="136"/>
      </rPr>
      <t>。</t>
    </r>
    <phoneticPr fontId="1" type="noConversion"/>
  </si>
  <si>
    <r>
      <rPr>
        <sz val="14"/>
        <color theme="1"/>
        <rFont val="標楷體"/>
        <family val="4"/>
        <charset val="136"/>
      </rPr>
      <t>乾燥除濕法</t>
    </r>
    <r>
      <rPr>
        <sz val="14"/>
        <color theme="1"/>
        <rFont val="Times New Roman"/>
        <family val="1"/>
      </rPr>
      <t>:</t>
    </r>
    <r>
      <rPr>
        <sz val="14"/>
        <color theme="1"/>
        <rFont val="標楷體"/>
        <family val="4"/>
        <charset val="136"/>
      </rPr>
      <t>在高濕及年溫變化小的熱帶地區，利用除濕裝置將外氣之濕度降低。產生的高溫、低濕之空氣經熱交換器加以兩次預冷，預冷降溫之空氣再經壓縮機降至更低溫度，而後進入室內與室內空氣混合達到空調效果。</t>
    </r>
    <phoneticPr fontId="1" type="noConversion"/>
  </si>
  <si>
    <t>腐蝕分類</t>
    <phoneticPr fontId="1" type="noConversion"/>
  </si>
  <si>
    <t>綜合判斷</t>
    <phoneticPr fontId="1" type="noConversion"/>
  </si>
  <si>
    <t>抗颱風力等級</t>
    <phoneticPr fontId="1" type="noConversion"/>
  </si>
  <si>
    <t>適合溫室</t>
    <phoneticPr fontId="1" type="noConversion"/>
  </si>
  <si>
    <t>A型簡易溫室</t>
    <phoneticPr fontId="1" type="noConversion"/>
  </si>
  <si>
    <t>最大風力</t>
    <phoneticPr fontId="1" type="noConversion"/>
  </si>
  <si>
    <t>圓頂力霸型溫室</t>
    <phoneticPr fontId="1" type="noConversion"/>
  </si>
  <si>
    <t>精密溫室</t>
    <phoneticPr fontId="1" type="noConversion"/>
  </si>
  <si>
    <t>內部結構補強</t>
    <phoneticPr fontId="1" type="noConversion"/>
  </si>
  <si>
    <t>外部結構補強</t>
    <phoneticPr fontId="1" type="noConversion"/>
  </si>
  <si>
    <t>破風結構補強</t>
    <phoneticPr fontId="1" type="noConversion"/>
  </si>
  <si>
    <r>
      <rPr>
        <sz val="14"/>
        <rFont val="Times New Roman"/>
        <family val="1"/>
      </rPr>
      <t>24</t>
    </r>
    <r>
      <rPr>
        <sz val="14"/>
        <rFont val="標楷體"/>
        <family val="4"/>
        <charset val="136"/>
      </rPr>
      <t>小時最大雨量</t>
    </r>
    <r>
      <rPr>
        <sz val="14"/>
        <rFont val="Times New Roman"/>
        <family val="1"/>
      </rPr>
      <t>(mm)</t>
    </r>
    <phoneticPr fontId="1" type="noConversion"/>
  </si>
  <si>
    <t>排水需求</t>
    <phoneticPr fontId="1" type="noConversion"/>
  </si>
  <si>
    <r>
      <rPr>
        <sz val="14"/>
        <color theme="1"/>
        <rFont val="標楷體"/>
        <family val="4"/>
        <charset val="136"/>
      </rPr>
      <t>製造成本</t>
    </r>
    <r>
      <rPr>
        <sz val="14"/>
        <color theme="1"/>
        <rFont val="Times New Roman"/>
        <family val="1"/>
      </rPr>
      <t>(</t>
    </r>
    <r>
      <rPr>
        <sz val="14"/>
        <color theme="1"/>
        <rFont val="標楷體"/>
        <family val="4"/>
        <charset val="136"/>
      </rPr>
      <t>元</t>
    </r>
    <r>
      <rPr>
        <sz val="14"/>
        <color theme="1"/>
        <rFont val="Times New Roman"/>
        <family val="1"/>
      </rPr>
      <t>)</t>
    </r>
    <phoneticPr fontId="1" type="noConversion"/>
  </si>
  <si>
    <r>
      <rPr>
        <sz val="14"/>
        <color theme="1"/>
        <rFont val="標楷體"/>
        <family val="4"/>
        <charset val="136"/>
      </rPr>
      <t>人力成本</t>
    </r>
    <r>
      <rPr>
        <sz val="14"/>
        <color theme="1"/>
        <rFont val="Times New Roman"/>
        <family val="1"/>
      </rPr>
      <t>(</t>
    </r>
    <r>
      <rPr>
        <sz val="14"/>
        <color theme="1"/>
        <rFont val="標楷體"/>
        <family val="4"/>
        <charset val="136"/>
      </rPr>
      <t>元</t>
    </r>
    <r>
      <rPr>
        <sz val="14"/>
        <color theme="1"/>
        <rFont val="Times New Roman"/>
        <family val="1"/>
      </rPr>
      <t>)</t>
    </r>
    <phoneticPr fontId="1" type="noConversion"/>
  </si>
  <si>
    <r>
      <rPr>
        <sz val="14"/>
        <color theme="1"/>
        <rFont val="標楷體"/>
        <family val="4"/>
        <charset val="136"/>
      </rPr>
      <t>管理成本</t>
    </r>
    <r>
      <rPr>
        <sz val="14"/>
        <color theme="1"/>
        <rFont val="Times New Roman"/>
        <family val="1"/>
      </rPr>
      <t>(</t>
    </r>
    <r>
      <rPr>
        <sz val="14"/>
        <color theme="1"/>
        <rFont val="標楷體"/>
        <family val="4"/>
        <charset val="136"/>
      </rPr>
      <t>元</t>
    </r>
    <r>
      <rPr>
        <sz val="14"/>
        <color theme="1"/>
        <rFont val="Times New Roman"/>
        <family val="1"/>
      </rPr>
      <t>)</t>
    </r>
    <phoneticPr fontId="1" type="noConversion"/>
  </si>
  <si>
    <r>
      <rPr>
        <sz val="14"/>
        <color theme="1"/>
        <rFont val="標楷體"/>
        <family val="4"/>
        <charset val="136"/>
      </rPr>
      <t>成本合計</t>
    </r>
    <r>
      <rPr>
        <sz val="14"/>
        <color theme="1"/>
        <rFont val="Times New Roman"/>
        <family val="1"/>
      </rPr>
      <t>(</t>
    </r>
    <r>
      <rPr>
        <sz val="14"/>
        <color theme="1"/>
        <rFont val="標楷體"/>
        <family val="4"/>
        <charset val="136"/>
      </rPr>
      <t>元</t>
    </r>
    <r>
      <rPr>
        <sz val="14"/>
        <color theme="1"/>
        <rFont val="Times New Roman"/>
        <family val="1"/>
      </rPr>
      <t>)</t>
    </r>
    <phoneticPr fontId="1" type="noConversion"/>
  </si>
  <si>
    <t>人工天</t>
    <phoneticPr fontId="1" type="noConversion"/>
  </si>
  <si>
    <r>
      <t>24</t>
    </r>
    <r>
      <rPr>
        <sz val="14"/>
        <rFont val="標楷體"/>
        <family val="4"/>
        <charset val="136"/>
      </rPr>
      <t>小時最大雨量</t>
    </r>
    <r>
      <rPr>
        <sz val="14"/>
        <rFont val="Times New Roman"/>
        <family val="1"/>
      </rPr>
      <t>(mm)</t>
    </r>
    <phoneticPr fontId="1" type="noConversion"/>
  </si>
  <si>
    <t>排水槽數量</t>
    <phoneticPr fontId="1" type="noConversion"/>
  </si>
  <si>
    <r>
      <t>面寬</t>
    </r>
    <r>
      <rPr>
        <sz val="14"/>
        <color theme="1"/>
        <rFont val="Times New Roman"/>
        <family val="1"/>
      </rPr>
      <t>(m)</t>
    </r>
    <phoneticPr fontId="1" type="noConversion"/>
  </si>
  <si>
    <r>
      <t>長</t>
    </r>
    <r>
      <rPr>
        <sz val="14"/>
        <color theme="1"/>
        <rFont val="Times New Roman"/>
        <family val="1"/>
      </rPr>
      <t>(m)</t>
    </r>
    <phoneticPr fontId="1" type="noConversion"/>
  </si>
  <si>
    <r>
      <t>溫室排水量需求</t>
    </r>
    <r>
      <rPr>
        <sz val="14"/>
        <color theme="1"/>
        <rFont val="Times New Roman"/>
        <family val="1"/>
      </rPr>
      <t>(L/min)</t>
    </r>
    <phoneticPr fontId="1" type="noConversion"/>
  </si>
  <si>
    <r>
      <t>24</t>
    </r>
    <r>
      <rPr>
        <sz val="14"/>
        <rFont val="標楷體"/>
        <family val="4"/>
        <charset val="136"/>
      </rPr>
      <t>小時一般雨量</t>
    </r>
    <r>
      <rPr>
        <sz val="14"/>
        <rFont val="Times New Roman"/>
        <family val="1"/>
      </rPr>
      <t>(mm)</t>
    </r>
    <phoneticPr fontId="1" type="noConversion"/>
  </si>
  <si>
    <t>溫室水槽強化</t>
    <phoneticPr fontId="1" type="noConversion"/>
  </si>
  <si>
    <t>溫室水槽強化方式</t>
    <phoneticPr fontId="1" type="noConversion"/>
  </si>
  <si>
    <t>增加排水管</t>
  </si>
  <si>
    <r>
      <t>溫室排水量</t>
    </r>
    <r>
      <rPr>
        <sz val="14"/>
        <color theme="1"/>
        <rFont val="Times New Roman"/>
        <family val="1"/>
      </rPr>
      <t>(L/min)</t>
    </r>
    <phoneticPr fontId="1" type="noConversion"/>
  </si>
  <si>
    <r>
      <t>排水管徑</t>
    </r>
    <r>
      <rPr>
        <sz val="14"/>
        <rFont val="Times New Roman"/>
        <family val="1"/>
      </rPr>
      <t>(in)</t>
    </r>
    <phoneticPr fontId="1" type="noConversion"/>
  </si>
  <si>
    <t>溫室東方抗風力(級風)</t>
    <phoneticPr fontId="1" type="noConversion"/>
  </si>
  <si>
    <t>溫室西方抗風力(級風)</t>
    <phoneticPr fontId="1" type="noConversion"/>
  </si>
  <si>
    <t>溫室南方抗風力(級風)</t>
    <phoneticPr fontId="1" type="noConversion"/>
  </si>
  <si>
    <t>溫室北方抗風力(級風)</t>
    <phoneticPr fontId="1" type="noConversion"/>
  </si>
  <si>
    <r>
      <t>溫室平時排水量需求</t>
    </r>
    <r>
      <rPr>
        <sz val="14"/>
        <color theme="1"/>
        <rFont val="Times New Roman"/>
        <family val="1"/>
      </rPr>
      <t>(L/min)</t>
    </r>
    <phoneticPr fontId="1" type="noConversion"/>
  </si>
  <si>
    <r>
      <t>排水量</t>
    </r>
    <r>
      <rPr>
        <sz val="16"/>
        <color theme="1"/>
        <rFont val="Times New Roman"/>
        <family val="1"/>
      </rPr>
      <t>(L/min)</t>
    </r>
    <phoneticPr fontId="1" type="noConversion"/>
  </si>
  <si>
    <t>零件圖</t>
    <phoneticPr fontId="1" type="noConversion"/>
  </si>
  <si>
    <t>工程圖</t>
    <phoneticPr fontId="1" type="noConversion"/>
  </si>
  <si>
    <t>B51101</t>
    <phoneticPr fontId="1" type="noConversion"/>
  </si>
  <si>
    <t>B51103</t>
  </si>
  <si>
    <t>B51104</t>
  </si>
  <si>
    <t>B51105</t>
  </si>
  <si>
    <t>B51106</t>
  </si>
  <si>
    <t>B51107</t>
  </si>
  <si>
    <t>B51108</t>
  </si>
  <si>
    <t>B51111</t>
  </si>
  <si>
    <t>B51112</t>
  </si>
  <si>
    <t>B51113</t>
  </si>
  <si>
    <t>B51114</t>
  </si>
  <si>
    <t>B51115</t>
  </si>
  <si>
    <t>B51116</t>
  </si>
  <si>
    <t>B51117</t>
  </si>
  <si>
    <t>B51118</t>
  </si>
  <si>
    <t>B51119</t>
  </si>
  <si>
    <t>B51120</t>
  </si>
  <si>
    <t>B51201</t>
    <phoneticPr fontId="1" type="noConversion"/>
  </si>
  <si>
    <t>B51203</t>
  </si>
  <si>
    <t>B51204</t>
  </si>
  <si>
    <t>B51205</t>
  </si>
  <si>
    <t>B51206</t>
  </si>
  <si>
    <t>B51207</t>
  </si>
  <si>
    <t>B51208</t>
  </si>
  <si>
    <t>B51209</t>
  </si>
  <si>
    <t>B51211</t>
  </si>
  <si>
    <t>B51212</t>
  </si>
  <si>
    <t>B51213</t>
  </si>
  <si>
    <t>B51214</t>
  </si>
  <si>
    <t>B51215</t>
  </si>
  <si>
    <t>B51216</t>
  </si>
  <si>
    <t>-</t>
    <phoneticPr fontId="1" type="noConversion"/>
  </si>
  <si>
    <t>B51109</t>
    <phoneticPr fontId="1" type="noConversion"/>
  </si>
  <si>
    <t>B51110</t>
    <phoneticPr fontId="1" type="noConversion"/>
  </si>
  <si>
    <t>B51210</t>
    <phoneticPr fontId="1" type="noConversion"/>
  </si>
  <si>
    <r>
      <t>B51110.</t>
    </r>
    <r>
      <rPr>
        <b/>
        <sz val="16"/>
        <color rgb="FF0000FF"/>
        <rFont val="標楷體"/>
        <family val="4"/>
        <charset val="136"/>
      </rPr>
      <t>力霸樑零件圖</t>
    </r>
    <phoneticPr fontId="1" type="noConversion"/>
  </si>
  <si>
    <r>
      <t>B51210.</t>
    </r>
    <r>
      <rPr>
        <b/>
        <sz val="16"/>
        <color rgb="FF0000FF"/>
        <rFont val="標楷體"/>
        <family val="4"/>
        <charset val="136"/>
      </rPr>
      <t>力霸樑工程圖</t>
    </r>
    <phoneticPr fontId="1" type="noConversion"/>
  </si>
  <si>
    <t>副立柱</t>
    <phoneticPr fontId="1" type="noConversion"/>
  </si>
  <si>
    <r>
      <t>B51102.</t>
    </r>
    <r>
      <rPr>
        <b/>
        <sz val="16"/>
        <color rgb="FF0000FF"/>
        <rFont val="標楷體"/>
        <family val="4"/>
        <charset val="136"/>
      </rPr>
      <t>主立柱零件圖</t>
    </r>
    <phoneticPr fontId="1" type="noConversion"/>
  </si>
  <si>
    <r>
      <t>B51202.</t>
    </r>
    <r>
      <rPr>
        <b/>
        <sz val="16"/>
        <color rgb="FF0000FF"/>
        <rFont val="標楷體"/>
        <family val="4"/>
        <charset val="136"/>
      </rPr>
      <t>主立柱工程圖</t>
    </r>
    <phoneticPr fontId="1" type="noConversion"/>
  </si>
  <si>
    <t>B51102</t>
    <phoneticPr fontId="1" type="noConversion"/>
  </si>
  <si>
    <t>B51202</t>
    <phoneticPr fontId="1" type="noConversion"/>
  </si>
  <si>
    <t>選定溫室</t>
    <phoneticPr fontId="1" type="noConversion"/>
  </si>
  <si>
    <t>B型簡易溫室</t>
    <phoneticPr fontId="1" type="noConversion"/>
  </si>
  <si>
    <t>溫室結構</t>
    <phoneticPr fontId="1" type="noConversion"/>
  </si>
  <si>
    <t>有無力霸樑</t>
    <phoneticPr fontId="1" type="noConversion"/>
  </si>
  <si>
    <t>B型簡易溫室</t>
  </si>
  <si>
    <t>溫室形式</t>
    <phoneticPr fontId="1" type="noConversion"/>
  </si>
  <si>
    <t>合計</t>
    <phoneticPr fontId="1" type="noConversion"/>
  </si>
  <si>
    <t>人力工時</t>
    <phoneticPr fontId="1" type="noConversion"/>
  </si>
  <si>
    <t>合計(天)</t>
    <phoneticPr fontId="1" type="noConversion"/>
  </si>
  <si>
    <t>工時需求(天)</t>
    <phoneticPr fontId="1" type="noConversion"/>
  </si>
  <si>
    <t>經費估算(元/坪)</t>
    <phoneticPr fontId="1" type="noConversion"/>
  </si>
  <si>
    <r>
      <rPr>
        <sz val="14"/>
        <color theme="1"/>
        <rFont val="標楷體"/>
        <family val="4"/>
        <charset val="136"/>
      </rPr>
      <t>配件成本</t>
    </r>
    <r>
      <rPr>
        <sz val="14"/>
        <color theme="1"/>
        <rFont val="Times New Roman"/>
        <family val="1"/>
      </rPr>
      <t>(</t>
    </r>
    <r>
      <rPr>
        <sz val="14"/>
        <color theme="1"/>
        <rFont val="標楷體"/>
        <family val="4"/>
        <charset val="136"/>
      </rPr>
      <t>元</t>
    </r>
    <r>
      <rPr>
        <sz val="14"/>
        <color theme="1"/>
        <rFont val="Times New Roman"/>
        <family val="1"/>
      </rPr>
      <t>)</t>
    </r>
    <phoneticPr fontId="1" type="noConversion"/>
  </si>
  <si>
    <t>20~25</t>
    <phoneticPr fontId="51" type="noConversion"/>
  </si>
  <si>
    <t>20~30</t>
    <phoneticPr fontId="51" type="noConversion"/>
  </si>
  <si>
    <t>10~15</t>
    <phoneticPr fontId="51" type="noConversion"/>
  </si>
  <si>
    <t>15~20</t>
    <phoneticPr fontId="51" type="noConversion"/>
  </si>
  <si>
    <t>65~75</t>
    <phoneticPr fontId="51" type="noConversion"/>
  </si>
  <si>
    <t>50~60</t>
    <phoneticPr fontId="51" type="noConversion"/>
  </si>
  <si>
    <t>PH</t>
    <phoneticPr fontId="51" type="noConversion"/>
  </si>
  <si>
    <t>6~7</t>
    <phoneticPr fontId="51" type="noConversion"/>
  </si>
  <si>
    <t>75~85</t>
    <phoneticPr fontId="51" type="noConversion"/>
  </si>
  <si>
    <t>24~60</t>
    <phoneticPr fontId="51" type="noConversion"/>
  </si>
  <si>
    <t>12~17</t>
    <phoneticPr fontId="51" type="noConversion"/>
  </si>
  <si>
    <r>
      <rPr>
        <sz val="14"/>
        <color theme="1"/>
        <rFont val="標楷體"/>
        <family val="4"/>
        <charset val="136"/>
      </rPr>
      <t>幼苗期</t>
    </r>
    <phoneticPr fontId="51" type="noConversion"/>
  </si>
  <si>
    <r>
      <rPr>
        <sz val="14"/>
        <color theme="1"/>
        <rFont val="標楷體"/>
        <family val="4"/>
        <charset val="136"/>
      </rPr>
      <t>白天溫度</t>
    </r>
    <phoneticPr fontId="51" type="noConversion"/>
  </si>
  <si>
    <r>
      <rPr>
        <sz val="14"/>
        <color theme="1"/>
        <rFont val="標楷體"/>
        <family val="4"/>
        <charset val="136"/>
      </rPr>
      <t>夜間溫度</t>
    </r>
    <phoneticPr fontId="51" type="noConversion"/>
  </si>
  <si>
    <r>
      <rPr>
        <sz val="14"/>
        <color theme="1"/>
        <rFont val="標楷體"/>
        <family val="4"/>
        <charset val="136"/>
      </rPr>
      <t>光度</t>
    </r>
    <r>
      <rPr>
        <sz val="14"/>
        <color theme="1"/>
        <rFont val="Times New Roman"/>
        <family val="1"/>
      </rPr>
      <t>W/LUX</t>
    </r>
    <phoneticPr fontId="51" type="noConversion"/>
  </si>
  <si>
    <r>
      <rPr>
        <sz val="14"/>
        <color theme="1"/>
        <rFont val="標楷體"/>
        <family val="4"/>
        <charset val="136"/>
      </rPr>
      <t>土壤濕度</t>
    </r>
    <phoneticPr fontId="51" type="noConversion"/>
  </si>
  <si>
    <r>
      <rPr>
        <sz val="14"/>
        <color theme="1"/>
        <rFont val="標楷體"/>
        <family val="4"/>
        <charset val="136"/>
      </rPr>
      <t>空氣濕度</t>
    </r>
    <phoneticPr fontId="51" type="noConversion"/>
  </si>
  <si>
    <r>
      <rPr>
        <sz val="14"/>
        <color theme="1"/>
        <rFont val="標楷體"/>
        <family val="4"/>
        <charset val="136"/>
      </rPr>
      <t>開花期</t>
    </r>
    <phoneticPr fontId="51" type="noConversion"/>
  </si>
  <si>
    <r>
      <rPr>
        <sz val="14"/>
        <color theme="1"/>
        <rFont val="標楷體"/>
        <family val="4"/>
        <charset val="136"/>
      </rPr>
      <t>授粉方式</t>
    </r>
    <phoneticPr fontId="51" type="noConversion"/>
  </si>
  <si>
    <r>
      <rPr>
        <sz val="14"/>
        <color theme="1"/>
        <rFont val="標楷體"/>
        <family val="4"/>
        <charset val="136"/>
      </rPr>
      <t>結果期</t>
    </r>
    <phoneticPr fontId="51" type="noConversion"/>
  </si>
  <si>
    <r>
      <rPr>
        <sz val="14"/>
        <color theme="1"/>
        <rFont val="標楷體"/>
        <family val="4"/>
        <charset val="136"/>
      </rPr>
      <t>著色期</t>
    </r>
    <phoneticPr fontId="51" type="noConversion"/>
  </si>
  <si>
    <t>小番茄</t>
    <phoneticPr fontId="1" type="noConversion"/>
  </si>
  <si>
    <r>
      <rPr>
        <sz val="14"/>
        <color theme="1"/>
        <rFont val="標楷體"/>
        <family val="4"/>
        <charset val="136"/>
      </rPr>
      <t>成長時期</t>
    </r>
    <r>
      <rPr>
        <sz val="14"/>
        <color theme="1"/>
        <rFont val="Times New Roman"/>
        <family val="1"/>
      </rPr>
      <t/>
    </r>
    <phoneticPr fontId="51" type="noConversion"/>
  </si>
  <si>
    <t>蝴蝶蘭</t>
    <phoneticPr fontId="1" type="noConversion"/>
  </si>
  <si>
    <t>披覆材</t>
    <phoneticPr fontId="1" type="noConversion"/>
  </si>
  <si>
    <t>E601</t>
    <phoneticPr fontId="1" type="noConversion"/>
  </si>
  <si>
    <t>E602</t>
    <phoneticPr fontId="1" type="noConversion"/>
  </si>
  <si>
    <t>批腹膜型號</t>
    <phoneticPr fontId="1" type="noConversion"/>
  </si>
  <si>
    <r>
      <t>厚度</t>
    </r>
    <r>
      <rPr>
        <sz val="14"/>
        <color theme="1"/>
        <rFont val="Times New Roman"/>
        <family val="1"/>
      </rPr>
      <t>(mm)</t>
    </r>
    <phoneticPr fontId="1" type="noConversion"/>
  </si>
  <si>
    <r>
      <rPr>
        <sz val="14"/>
        <color theme="1"/>
        <rFont val="標楷體"/>
        <family val="4"/>
        <charset val="136"/>
      </rPr>
      <t>超韌性膠布</t>
    </r>
    <r>
      <rPr>
        <sz val="14"/>
        <color theme="1"/>
        <rFont val="Times New Roman"/>
        <family val="1"/>
      </rPr>
      <t>UV2992AD/0.18mm</t>
    </r>
    <r>
      <rPr>
        <sz val="14"/>
        <color theme="1"/>
        <rFont val="標楷體"/>
        <family val="4"/>
        <charset val="136"/>
      </rPr>
      <t>長效膜</t>
    </r>
  </si>
  <si>
    <r>
      <rPr>
        <sz val="14"/>
        <color theme="1"/>
        <rFont val="標楷體"/>
        <family val="4"/>
        <charset val="136"/>
      </rPr>
      <t xml:space="preserve">縱向
抗拉力強度
</t>
    </r>
    <r>
      <rPr>
        <sz val="14"/>
        <color theme="1"/>
        <rFont val="Times New Roman"/>
        <family val="1"/>
      </rPr>
      <t>(N/mm</t>
    </r>
    <r>
      <rPr>
        <vertAlign val="superscript"/>
        <sz val="14"/>
        <color theme="1"/>
        <rFont val="Times New Roman"/>
        <family val="1"/>
      </rPr>
      <t>2</t>
    </r>
    <r>
      <rPr>
        <sz val="14"/>
        <color theme="1"/>
        <rFont val="Times New Roman"/>
        <family val="1"/>
      </rPr>
      <t>)</t>
    </r>
    <phoneticPr fontId="1" type="noConversion"/>
  </si>
  <si>
    <r>
      <rPr>
        <sz val="14"/>
        <color theme="1"/>
        <rFont val="標楷體"/>
        <family val="4"/>
        <charset val="136"/>
      </rPr>
      <t xml:space="preserve">橫向
抗拉力強度
</t>
    </r>
    <r>
      <rPr>
        <sz val="14"/>
        <color theme="1"/>
        <rFont val="Times New Roman"/>
        <family val="1"/>
      </rPr>
      <t>(N/mm</t>
    </r>
    <r>
      <rPr>
        <vertAlign val="superscript"/>
        <sz val="14"/>
        <color theme="1"/>
        <rFont val="Times New Roman"/>
        <family val="1"/>
      </rPr>
      <t>2</t>
    </r>
    <r>
      <rPr>
        <sz val="14"/>
        <color theme="1"/>
        <rFont val="Times New Roman"/>
        <family val="1"/>
      </rPr>
      <t>)</t>
    </r>
    <phoneticPr fontId="1" type="noConversion"/>
  </si>
  <si>
    <r>
      <t xml:space="preserve">抗撕裂強度
</t>
    </r>
    <r>
      <rPr>
        <sz val="14"/>
        <color theme="1"/>
        <rFont val="Times New Roman"/>
        <family val="1"/>
      </rPr>
      <t>(kgf/mm)</t>
    </r>
    <phoneticPr fontId="1" type="noConversion"/>
  </si>
  <si>
    <r>
      <t>透光率</t>
    </r>
    <r>
      <rPr>
        <sz val="14"/>
        <color theme="1"/>
        <rFont val="Times New Roman"/>
        <family val="1"/>
      </rPr>
      <t>(%)</t>
    </r>
    <phoneticPr fontId="1" type="noConversion"/>
  </si>
  <si>
    <r>
      <t>折射率</t>
    </r>
    <r>
      <rPr>
        <sz val="14"/>
        <color theme="1"/>
        <rFont val="Times New Roman"/>
        <family val="1"/>
      </rPr>
      <t>(%)</t>
    </r>
    <phoneticPr fontId="1" type="noConversion"/>
  </si>
  <si>
    <t>耐用年限(年)</t>
    <phoneticPr fontId="1" type="noConversion"/>
  </si>
  <si>
    <t>使用型號</t>
    <phoneticPr fontId="1" type="noConversion"/>
  </si>
  <si>
    <r>
      <rPr>
        <sz val="14"/>
        <color theme="1"/>
        <rFont val="標楷體"/>
        <family val="4"/>
        <charset val="136"/>
      </rPr>
      <t>超韌性膠布</t>
    </r>
    <r>
      <rPr>
        <sz val="14"/>
        <color theme="1"/>
        <rFont val="Times New Roman"/>
        <family val="1"/>
      </rPr>
      <t>UV2892AD/0.15mm</t>
    </r>
    <r>
      <rPr>
        <sz val="14"/>
        <color theme="1"/>
        <rFont val="標楷體"/>
        <family val="4"/>
        <charset val="136"/>
      </rPr>
      <t>長效膜</t>
    </r>
    <phoneticPr fontId="1" type="noConversion"/>
  </si>
  <si>
    <t>使用年限</t>
    <phoneticPr fontId="1" type="noConversion"/>
  </si>
  <si>
    <t>UV2892AD/0.15mm</t>
  </si>
  <si>
    <t>UV2892AD/0.15mm</t>
    <phoneticPr fontId="1" type="noConversion"/>
  </si>
  <si>
    <r>
      <rPr>
        <sz val="14"/>
        <color theme="1"/>
        <rFont val="標楷體"/>
        <family val="4"/>
        <charset val="136"/>
      </rPr>
      <t>超韌性膠布</t>
    </r>
    <r>
      <rPr>
        <sz val="14"/>
        <color theme="1"/>
        <rFont val="Times New Roman"/>
        <family val="1"/>
      </rPr>
      <t>UV2992AD/0.18mm</t>
    </r>
    <r>
      <rPr>
        <sz val="14"/>
        <color theme="1"/>
        <rFont val="標楷體"/>
        <family val="4"/>
        <charset val="136"/>
      </rPr>
      <t>長效膜</t>
    </r>
    <phoneticPr fontId="1" type="noConversion"/>
  </si>
  <si>
    <r>
      <rPr>
        <sz val="14"/>
        <color theme="1"/>
        <rFont val="標楷體"/>
        <family val="4"/>
        <charset val="136"/>
      </rPr>
      <t>超韌性膠布</t>
    </r>
    <r>
      <rPr>
        <sz val="14"/>
        <color theme="1"/>
        <rFont val="Times New Roman"/>
        <family val="1"/>
      </rPr>
      <t>UV2892AD/0.15mm</t>
    </r>
    <r>
      <rPr>
        <sz val="14"/>
        <color theme="1"/>
        <rFont val="標楷體"/>
        <family val="4"/>
        <charset val="136"/>
      </rPr>
      <t>長效膜</t>
    </r>
    <phoneticPr fontId="1" type="noConversion"/>
  </si>
  <si>
    <r>
      <t>B43.</t>
    </r>
    <r>
      <rPr>
        <b/>
        <u/>
        <sz val="16"/>
        <color rgb="FF0000FF"/>
        <rFont val="標楷體"/>
        <family val="4"/>
        <charset val="136"/>
      </rPr>
      <t>溫室結構設計</t>
    </r>
    <phoneticPr fontId="1" type="noConversion"/>
  </si>
  <si>
    <r>
      <t>B54.</t>
    </r>
    <r>
      <rPr>
        <b/>
        <u/>
        <sz val="16"/>
        <color rgb="FF0000FF"/>
        <rFont val="標楷體"/>
        <family val="4"/>
        <charset val="136"/>
      </rPr>
      <t>溫室經費表</t>
    </r>
    <phoneticPr fontId="1" type="noConversion"/>
  </si>
  <si>
    <t>-</t>
    <phoneticPr fontId="1" type="noConversion"/>
  </si>
  <si>
    <r>
      <t>依據中央氣象局颱風資料庫之資料，自</t>
    </r>
    <r>
      <rPr>
        <sz val="14"/>
        <color rgb="FF000000"/>
        <rFont val="Times New Roman"/>
        <family val="1"/>
      </rPr>
      <t>1958</t>
    </r>
    <r>
      <rPr>
        <sz val="14"/>
        <color rgb="FF000000"/>
        <rFont val="標楷體"/>
        <family val="4"/>
        <charset val="136"/>
      </rPr>
      <t>至</t>
    </r>
    <r>
      <rPr>
        <sz val="14"/>
        <color rgb="FF000000"/>
        <rFont val="Times New Roman"/>
        <family val="1"/>
      </rPr>
      <t>2016</t>
    </r>
    <r>
      <rPr>
        <sz val="14"/>
        <color rgb="FF000000"/>
        <rFont val="標楷體"/>
        <family val="4"/>
        <charset val="136"/>
      </rPr>
      <t>年的歷史侵台颱風，編號第</t>
    </r>
    <r>
      <rPr>
        <sz val="14"/>
        <color rgb="FF000000"/>
        <rFont val="Times New Roman"/>
        <family val="1"/>
      </rPr>
      <t>3</t>
    </r>
    <r>
      <rPr>
        <sz val="14"/>
        <color rgb="FF000000"/>
        <rFont val="標楷體"/>
        <family val="4"/>
        <charset val="136"/>
      </rPr>
      <t>、</t>
    </r>
    <r>
      <rPr>
        <sz val="14"/>
        <color rgb="FF000000"/>
        <rFont val="Times New Roman"/>
        <family val="1"/>
      </rPr>
      <t>4</t>
    </r>
    <r>
      <rPr>
        <sz val="14"/>
        <color rgb="FF000000"/>
        <rFont val="標楷體"/>
        <family val="4"/>
        <charset val="136"/>
      </rPr>
      <t>、</t>
    </r>
    <r>
      <rPr>
        <sz val="14"/>
        <color rgb="FF000000"/>
        <rFont val="Times New Roman"/>
        <family val="1"/>
      </rPr>
      <t>9</t>
    </r>
    <r>
      <rPr>
        <sz val="14"/>
        <color rgb="FF000000"/>
        <rFont val="標楷體"/>
        <family val="4"/>
        <charset val="136"/>
      </rPr>
      <t>、</t>
    </r>
    <r>
      <rPr>
        <sz val="14"/>
        <color rgb="FF000000"/>
        <rFont val="Times New Roman"/>
        <family val="1"/>
      </rPr>
      <t>7</t>
    </r>
    <r>
      <rPr>
        <sz val="14"/>
        <color rgb="FF000000"/>
        <rFont val="標楷體"/>
        <family val="4"/>
        <charset val="136"/>
      </rPr>
      <t>、</t>
    </r>
    <r>
      <rPr>
        <sz val="14"/>
        <color rgb="FF000000"/>
        <rFont val="Times New Roman"/>
        <family val="1"/>
      </rPr>
      <t>5</t>
    </r>
    <r>
      <rPr>
        <sz val="14"/>
        <color rgb="FF000000"/>
        <rFont val="標楷體"/>
        <family val="4"/>
        <charset val="136"/>
      </rPr>
      <t>、</t>
    </r>
    <r>
      <rPr>
        <sz val="14"/>
        <color rgb="FF000000"/>
        <rFont val="Times New Roman"/>
        <family val="1"/>
      </rPr>
      <t>2</t>
    </r>
    <r>
      <rPr>
        <sz val="14"/>
        <color rgb="FF000000"/>
        <rFont val="標楷體"/>
        <family val="4"/>
        <charset val="136"/>
      </rPr>
      <t>路徑次數列表入下</t>
    </r>
    <phoneticPr fontId="1" type="noConversion"/>
  </si>
  <si>
    <r>
      <t>B23.</t>
    </r>
    <r>
      <rPr>
        <b/>
        <sz val="16"/>
        <color rgb="FF0000FF"/>
        <rFont val="標楷體"/>
        <family val="4"/>
        <charset val="136"/>
      </rPr>
      <t>溫室地形地貌資料庫</t>
    </r>
    <phoneticPr fontId="1" type="noConversion"/>
  </si>
  <si>
    <t>颱風侵襲必經路徑之高危險區域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</si>
</sst>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_ "/>
    <numFmt numFmtId="177" formatCode="0_ "/>
    <numFmt numFmtId="178" formatCode="#,##0_ "/>
  </numFmts>
  <fonts count="52">
    <font>
      <sz val="12"/>
      <color theme="1"/>
      <name val="新細明體"/>
      <family val="2"/>
      <charset val="136"/>
      <scheme val="minor"/>
    </font>
    <font>
      <sz val="9"/>
      <name val="新細明體"/>
      <family val="2"/>
      <charset val="136"/>
      <scheme val="minor"/>
    </font>
    <font>
      <sz val="12"/>
      <color theme="1"/>
      <name val="標楷體"/>
      <family val="4"/>
      <charset val="136"/>
    </font>
    <font>
      <sz val="16"/>
      <color theme="1"/>
      <name val="標楷體"/>
      <family val="4"/>
      <charset val="136"/>
    </font>
    <font>
      <sz val="14"/>
      <color theme="1"/>
      <name val="標楷體"/>
      <family val="4"/>
      <charset val="136"/>
    </font>
    <font>
      <u/>
      <sz val="12"/>
      <color theme="10"/>
      <name val="新細明體"/>
      <family val="2"/>
      <charset val="136"/>
      <scheme val="minor"/>
    </font>
    <font>
      <u/>
      <sz val="16"/>
      <color theme="10"/>
      <name val="標楷體"/>
      <family val="4"/>
      <charset val="136"/>
    </font>
    <font>
      <sz val="14"/>
      <color rgb="FF000000"/>
      <name val="標楷體"/>
      <family val="4"/>
      <charset val="136"/>
    </font>
    <font>
      <sz val="14"/>
      <color rgb="FF000000"/>
      <name val="Times New Roman"/>
      <family val="1"/>
    </font>
    <font>
      <sz val="14"/>
      <color rgb="FF000000"/>
      <name val="+mj-lt"/>
      <family val="2"/>
    </font>
    <font>
      <sz val="12"/>
      <color rgb="FF000000"/>
      <name val="標楷體"/>
      <family val="4"/>
      <charset val="136"/>
    </font>
    <font>
      <sz val="12"/>
      <color rgb="FF000000"/>
      <name val="Times New Roman"/>
      <family val="1"/>
    </font>
    <font>
      <b/>
      <sz val="14"/>
      <color rgb="FF0000FF"/>
      <name val="標楷體"/>
      <family val="4"/>
      <charset val="136"/>
    </font>
    <font>
      <b/>
      <sz val="14"/>
      <color rgb="FF0000FF"/>
      <name val="Times New Roman"/>
      <family val="1"/>
    </font>
    <font>
      <sz val="14"/>
      <name val="標楷體"/>
      <family val="4"/>
      <charset val="136"/>
    </font>
    <font>
      <sz val="14"/>
      <name val="Times New Roman"/>
      <family val="1"/>
    </font>
    <font>
      <b/>
      <sz val="12"/>
      <color rgb="FF0000FF"/>
      <name val="標楷體"/>
      <family val="4"/>
      <charset val="136"/>
    </font>
    <font>
      <b/>
      <sz val="14"/>
      <color rgb="FFFF0000"/>
      <name val="標楷體"/>
      <family val="4"/>
      <charset val="136"/>
    </font>
    <font>
      <sz val="12"/>
      <color theme="1"/>
      <name val="Times New Roman"/>
      <family val="1"/>
    </font>
    <font>
      <sz val="14"/>
      <color theme="1"/>
      <name val="Times New Roman"/>
      <family val="1"/>
    </font>
    <font>
      <b/>
      <sz val="12"/>
      <color rgb="FFFF0000"/>
      <name val="Times New Roman"/>
      <family val="1"/>
    </font>
    <font>
      <b/>
      <sz val="14"/>
      <color theme="0" tint="-0.499984740745262"/>
      <name val="標楷體"/>
      <family val="4"/>
      <charset val="136"/>
    </font>
    <font>
      <b/>
      <sz val="14"/>
      <color theme="0" tint="-0.499984740745262"/>
      <name val="Times New Roman"/>
      <family val="1"/>
    </font>
    <font>
      <b/>
      <sz val="14"/>
      <color rgb="FF00B050"/>
      <name val="標楷體"/>
      <family val="4"/>
      <charset val="136"/>
    </font>
    <font>
      <sz val="16"/>
      <color theme="1"/>
      <name val="Times New Roman"/>
      <family val="1"/>
    </font>
    <font>
      <b/>
      <sz val="14"/>
      <color rgb="FF00B050"/>
      <name val="Times New Roman"/>
      <family val="1"/>
    </font>
    <font>
      <b/>
      <sz val="14"/>
      <name val="Times New Roman"/>
      <family val="1"/>
    </font>
    <font>
      <sz val="14"/>
      <color rgb="FFFF0000"/>
      <name val="Times New Roman"/>
      <family val="1"/>
    </font>
    <font>
      <sz val="14"/>
      <color theme="1"/>
      <name val="新細明體"/>
      <family val="2"/>
      <charset val="136"/>
      <scheme val="minor"/>
    </font>
    <font>
      <sz val="14"/>
      <color rgb="FFFF0000"/>
      <name val="標楷體"/>
      <family val="4"/>
      <charset val="136"/>
    </font>
    <font>
      <u/>
      <sz val="14"/>
      <color theme="10"/>
      <name val="標楷體"/>
      <family val="4"/>
      <charset val="136"/>
    </font>
    <font>
      <vertAlign val="superscript"/>
      <sz val="14"/>
      <name val="Times New Roman"/>
      <family val="1"/>
    </font>
    <font>
      <sz val="14"/>
      <color theme="1"/>
      <name val="細明體"/>
      <family val="3"/>
      <charset val="136"/>
    </font>
    <font>
      <vertAlign val="superscript"/>
      <sz val="14"/>
      <color theme="1"/>
      <name val="Times New Roman"/>
      <family val="1"/>
    </font>
    <font>
      <sz val="14"/>
      <color rgb="FF0000FF"/>
      <name val="新細明體"/>
      <family val="2"/>
      <charset val="136"/>
      <scheme val="minor"/>
    </font>
    <font>
      <b/>
      <sz val="14"/>
      <color theme="1"/>
      <name val="標楷體"/>
      <family val="4"/>
      <charset val="136"/>
    </font>
    <font>
      <b/>
      <sz val="14"/>
      <color theme="1"/>
      <name val="Times New Roman"/>
      <family val="1"/>
    </font>
    <font>
      <b/>
      <sz val="14"/>
      <color rgb="FFFF0000"/>
      <name val="Times New Roman"/>
      <family val="1"/>
    </font>
    <font>
      <sz val="14"/>
      <color theme="1"/>
      <name val="Symbol"/>
      <family val="1"/>
      <charset val="2"/>
    </font>
    <font>
      <sz val="14"/>
      <color rgb="FF0000FF"/>
      <name val="Times New Roman"/>
      <family val="1"/>
    </font>
    <font>
      <sz val="14"/>
      <color theme="0" tint="-0.499984740745262"/>
      <name val="標楷體"/>
      <family val="4"/>
      <charset val="136"/>
    </font>
    <font>
      <u/>
      <sz val="14"/>
      <color theme="10"/>
      <name val="Times New Roman"/>
      <family val="1"/>
    </font>
    <font>
      <b/>
      <sz val="16"/>
      <color rgb="FF0000CC"/>
      <name val="標楷體"/>
      <family val="4"/>
      <charset val="136"/>
    </font>
    <font>
      <b/>
      <sz val="26"/>
      <color rgb="FF0000CC"/>
      <name val="標楷體"/>
      <family val="4"/>
      <charset val="136"/>
    </font>
    <font>
      <b/>
      <sz val="26"/>
      <color rgb="FF0000CC"/>
      <name val="Times New Roman"/>
      <family val="1"/>
    </font>
    <font>
      <b/>
      <sz val="16"/>
      <color rgb="FF0000FF"/>
      <name val="標楷體"/>
      <family val="4"/>
      <charset val="136"/>
    </font>
    <font>
      <b/>
      <u/>
      <sz val="16"/>
      <color rgb="FF0000FF"/>
      <name val="標楷體"/>
      <family val="4"/>
      <charset val="136"/>
    </font>
    <font>
      <b/>
      <sz val="16"/>
      <color rgb="FF0000FF"/>
      <name val="Times New Roman"/>
      <family val="1"/>
    </font>
    <font>
      <u/>
      <sz val="16"/>
      <color theme="10"/>
      <name val="Times New Roman"/>
      <family val="1"/>
    </font>
    <font>
      <b/>
      <sz val="16"/>
      <color rgb="FF0000CC"/>
      <name val="Times New Roman"/>
      <family val="1"/>
    </font>
    <font>
      <b/>
      <u/>
      <sz val="16"/>
      <color rgb="FF0000FF"/>
      <name val="Times New Roman"/>
      <family val="1"/>
    </font>
    <font>
      <sz val="9"/>
      <name val="新細明體"/>
      <family val="3"/>
      <charset val="136"/>
      <scheme val="minor"/>
    </font>
  </fonts>
  <fills count="20">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0"/>
        <bgColor indexed="64"/>
      </patternFill>
    </fill>
    <fill>
      <patternFill patternType="solid">
        <fgColor rgb="FFCCEEFF"/>
        <bgColor indexed="64"/>
      </patternFill>
    </fill>
    <fill>
      <patternFill patternType="solid">
        <fgColor rgb="FFFFCCEE"/>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rgb="FFFFFFCC"/>
        <bgColor indexed="64"/>
      </patternFill>
    </fill>
    <fill>
      <patternFill patternType="solid">
        <fgColor rgb="FFFFC000"/>
        <bgColor indexed="64"/>
      </patternFill>
    </fill>
    <fill>
      <patternFill patternType="solid">
        <fgColor theme="9" tint="0.59999389629810485"/>
        <bgColor indexed="64"/>
      </patternFill>
    </fill>
    <fill>
      <patternFill patternType="solid">
        <fgColor rgb="FFFFFF99"/>
        <bgColor indexed="64"/>
      </patternFill>
    </fill>
  </fills>
  <borders count="16">
    <border>
      <left/>
      <right/>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indexed="64"/>
      </right>
      <top/>
      <bottom style="thin">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410">
    <xf numFmtId="0" fontId="0" fillId="0" borderId="0" xfId="0">
      <alignment vertical="center"/>
    </xf>
    <xf numFmtId="0" fontId="3" fillId="0" borderId="0" xfId="0" applyFont="1">
      <alignment vertical="center"/>
    </xf>
    <xf numFmtId="0" fontId="6" fillId="0" borderId="0" xfId="1" applyFont="1" applyAlignment="1">
      <alignment horizontal="center" vertical="center"/>
    </xf>
    <xf numFmtId="0" fontId="7" fillId="0" borderId="1" xfId="0" applyFont="1" applyBorder="1" applyAlignment="1">
      <alignment horizontal="center" vertical="center" wrapText="1" readingOrder="1"/>
    </xf>
    <xf numFmtId="0" fontId="8" fillId="0" borderId="1" xfId="0" applyFont="1" applyBorder="1" applyAlignment="1">
      <alignment horizontal="center" vertical="center" wrapText="1" readingOrder="1"/>
    </xf>
    <xf numFmtId="0" fontId="11" fillId="0" borderId="1" xfId="0" applyFont="1" applyBorder="1" applyAlignment="1">
      <alignment horizontal="center" vertical="center" wrapText="1" readingOrder="1"/>
    </xf>
    <xf numFmtId="0" fontId="10" fillId="0" borderId="1" xfId="0" applyFont="1" applyBorder="1" applyAlignment="1">
      <alignment horizontal="center" vertical="center" wrapText="1" readingOrder="1"/>
    </xf>
    <xf numFmtId="0" fontId="11" fillId="2" borderId="2" xfId="0" applyFont="1" applyFill="1" applyBorder="1" applyAlignment="1">
      <alignment horizontal="center" vertical="center" wrapText="1"/>
    </xf>
    <xf numFmtId="0" fontId="10" fillId="0" borderId="2" xfId="0" applyFont="1" applyBorder="1" applyAlignment="1">
      <alignment horizontal="center" vertical="center" wrapText="1" readingOrder="1"/>
    </xf>
    <xf numFmtId="0" fontId="11" fillId="0" borderId="2" xfId="0" applyFont="1" applyBorder="1" applyAlignment="1">
      <alignment horizontal="center" vertical="center" wrapText="1" readingOrder="1"/>
    </xf>
    <xf numFmtId="0" fontId="11" fillId="0" borderId="2" xfId="0" applyFont="1" applyFill="1" applyBorder="1" applyAlignment="1">
      <alignment horizontal="center" vertical="center" wrapText="1" readingOrder="1"/>
    </xf>
    <xf numFmtId="0" fontId="10" fillId="0" borderId="2" xfId="0" applyFont="1" applyFill="1" applyBorder="1" applyAlignment="1">
      <alignment horizontal="center" vertical="center" wrapText="1" readingOrder="1"/>
    </xf>
    <xf numFmtId="0" fontId="20" fillId="0" borderId="1" xfId="0" applyFont="1" applyBorder="1" applyAlignment="1">
      <alignment horizontal="center" vertical="center" wrapText="1" readingOrder="1"/>
    </xf>
    <xf numFmtId="0" fontId="3" fillId="0" borderId="0" xfId="0" applyFont="1">
      <alignment vertical="center"/>
    </xf>
    <xf numFmtId="0" fontId="3" fillId="0" borderId="2" xfId="0" applyFont="1" applyBorder="1">
      <alignment vertical="center"/>
    </xf>
    <xf numFmtId="0" fontId="22" fillId="0" borderId="2" xfId="0" applyFont="1" applyBorder="1" applyAlignment="1">
      <alignment horizontal="center" vertical="center"/>
    </xf>
    <xf numFmtId="0" fontId="0" fillId="0" borderId="0" xfId="0" applyAlignment="1">
      <alignment horizontal="center" vertical="center"/>
    </xf>
    <xf numFmtId="0" fontId="23" fillId="0" borderId="2" xfId="0" applyFont="1" applyBorder="1" applyAlignment="1">
      <alignment horizontal="center" vertical="center"/>
    </xf>
    <xf numFmtId="0" fontId="2" fillId="0" borderId="0" xfId="0" applyFont="1" applyAlignment="1">
      <alignment horizontal="center" vertical="center"/>
    </xf>
    <xf numFmtId="0" fontId="22" fillId="0" borderId="0" xfId="0" applyFont="1" applyBorder="1" applyAlignment="1">
      <alignment horizontal="center" vertical="center"/>
    </xf>
    <xf numFmtId="0" fontId="25" fillId="0" borderId="3" xfId="0" applyFont="1" applyBorder="1" applyAlignment="1">
      <alignment horizontal="center" vertical="center"/>
    </xf>
    <xf numFmtId="0" fontId="26" fillId="0" borderId="2" xfId="0" applyFont="1" applyBorder="1" applyAlignment="1">
      <alignment horizontal="center" vertical="center"/>
    </xf>
    <xf numFmtId="0" fontId="26" fillId="0" borderId="2" xfId="0" applyFont="1" applyFill="1" applyBorder="1" applyAlignment="1">
      <alignment horizontal="center" vertical="center"/>
    </xf>
    <xf numFmtId="177" fontId="26" fillId="0" borderId="2" xfId="0" applyNumberFormat="1" applyFont="1" applyBorder="1" applyAlignment="1">
      <alignment horizontal="center" vertical="center"/>
    </xf>
    <xf numFmtId="178" fontId="26" fillId="0" borderId="2" xfId="0" applyNumberFormat="1" applyFont="1" applyBorder="1" applyAlignment="1">
      <alignment horizontal="center" vertical="center"/>
    </xf>
    <xf numFmtId="178" fontId="13" fillId="0" borderId="2" xfId="0" applyNumberFormat="1" applyFont="1" applyBorder="1" applyAlignment="1">
      <alignment horizontal="center" vertical="center"/>
    </xf>
    <xf numFmtId="0" fontId="3" fillId="0" borderId="2" xfId="0" applyFont="1" applyBorder="1" applyAlignment="1">
      <alignment horizontal="left" vertical="center"/>
    </xf>
    <xf numFmtId="178" fontId="22" fillId="0" borderId="2" xfId="0" applyNumberFormat="1" applyFont="1" applyBorder="1" applyAlignment="1">
      <alignment horizontal="center" vertical="center"/>
    </xf>
    <xf numFmtId="0" fontId="4" fillId="0" borderId="0" xfId="0" applyFont="1">
      <alignment vertical="center"/>
    </xf>
    <xf numFmtId="0" fontId="27" fillId="0" borderId="0" xfId="0" applyFont="1" applyAlignment="1">
      <alignment horizontal="center" vertical="center"/>
    </xf>
    <xf numFmtId="0" fontId="19" fillId="0" borderId="0" xfId="0" applyFont="1">
      <alignment vertical="center"/>
    </xf>
    <xf numFmtId="0" fontId="17" fillId="0" borderId="0" xfId="0" applyFont="1">
      <alignment vertical="center"/>
    </xf>
    <xf numFmtId="0" fontId="28" fillId="0" borderId="0" xfId="0" applyFont="1">
      <alignment vertical="center"/>
    </xf>
    <xf numFmtId="0" fontId="29" fillId="0" borderId="0" xfId="0" applyFont="1" applyAlignment="1">
      <alignment horizontal="center" vertical="center"/>
    </xf>
    <xf numFmtId="177" fontId="25" fillId="0" borderId="2" xfId="0" applyNumberFormat="1" applyFont="1" applyBorder="1" applyAlignment="1">
      <alignment horizontal="center" vertical="center"/>
    </xf>
    <xf numFmtId="0" fontId="4" fillId="0" borderId="0" xfId="0" applyFont="1" applyAlignment="1">
      <alignment horizontal="center" vertical="center"/>
    </xf>
    <xf numFmtId="0" fontId="12"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right" vertical="center"/>
    </xf>
    <xf numFmtId="0" fontId="4" fillId="0" borderId="2" xfId="0" applyFont="1" applyBorder="1">
      <alignment vertical="center"/>
    </xf>
    <xf numFmtId="0" fontId="30" fillId="0" borderId="2" xfId="1" applyFont="1" applyBorder="1" applyAlignment="1">
      <alignment horizontal="center" vertical="center"/>
    </xf>
    <xf numFmtId="0" fontId="3" fillId="0" borderId="0" xfId="0" applyFont="1">
      <alignment vertical="center"/>
    </xf>
    <xf numFmtId="0" fontId="12" fillId="0" borderId="0" xfId="0" applyFont="1">
      <alignment vertical="center"/>
    </xf>
    <xf numFmtId="0" fontId="3" fillId="0" borderId="0" xfId="0" applyFont="1">
      <alignment vertical="center"/>
    </xf>
    <xf numFmtId="0" fontId="3" fillId="0" borderId="0" xfId="0" applyFont="1" applyAlignment="1">
      <alignment horizontal="center" vertical="center"/>
    </xf>
    <xf numFmtId="0" fontId="19" fillId="0" borderId="2" xfId="0" applyFont="1" applyBorder="1" applyAlignment="1">
      <alignment horizontal="center" vertical="center"/>
    </xf>
    <xf numFmtId="0" fontId="10" fillId="2" borderId="2" xfId="0" applyFont="1" applyFill="1" applyBorder="1" applyAlignment="1">
      <alignment horizontal="center" vertical="center" wrapText="1"/>
    </xf>
    <xf numFmtId="0" fontId="11" fillId="0" borderId="0" xfId="0" applyFont="1" applyBorder="1" applyAlignment="1">
      <alignment horizontal="center" vertical="center" wrapText="1" readingOrder="1"/>
    </xf>
    <xf numFmtId="0" fontId="10" fillId="0" borderId="0" xfId="0" applyFont="1" applyBorder="1" applyAlignment="1">
      <alignment horizontal="center" vertical="center" wrapText="1" readingOrder="1"/>
    </xf>
    <xf numFmtId="0" fontId="3" fillId="0" borderId="0" xfId="0" applyFont="1" applyAlignment="1">
      <alignment horizontal="left" vertical="center"/>
    </xf>
    <xf numFmtId="0" fontId="14" fillId="0" borderId="2" xfId="1" applyFont="1" applyBorder="1" applyAlignment="1">
      <alignment horizontal="center" vertical="center"/>
    </xf>
    <xf numFmtId="0" fontId="15" fillId="0" borderId="2" xfId="1" applyFont="1" applyBorder="1" applyAlignment="1">
      <alignment horizontal="center" vertical="center"/>
    </xf>
    <xf numFmtId="0" fontId="4" fillId="0" borderId="0" xfId="0" applyFont="1" applyBorder="1" applyAlignment="1">
      <alignment horizontal="center" vertical="center"/>
    </xf>
    <xf numFmtId="0" fontId="4" fillId="0" borderId="2" xfId="0" applyFont="1" applyBorder="1" applyAlignment="1">
      <alignment horizontal="center" vertical="center"/>
    </xf>
    <xf numFmtId="0" fontId="3" fillId="0" borderId="0" xfId="0" applyFont="1">
      <alignment vertical="center"/>
    </xf>
    <xf numFmtId="0" fontId="3" fillId="0" borderId="2" xfId="0" applyFont="1" applyBorder="1" applyAlignment="1">
      <alignment horizontal="center" vertical="center"/>
    </xf>
    <xf numFmtId="0" fontId="3" fillId="0" borderId="0" xfId="0" applyFont="1">
      <alignment vertical="center"/>
    </xf>
    <xf numFmtId="0" fontId="3" fillId="0" borderId="2" xfId="0" applyFont="1" applyBorder="1" applyAlignment="1">
      <alignment horizontal="center" vertical="center"/>
    </xf>
    <xf numFmtId="0" fontId="4" fillId="0" borderId="2" xfId="0" applyFont="1" applyBorder="1" applyAlignment="1">
      <alignment horizontal="center" vertical="center"/>
    </xf>
    <xf numFmtId="0" fontId="3" fillId="0" borderId="0" xfId="0" applyFont="1" applyAlignment="1">
      <alignment horizontal="left" vertical="center"/>
    </xf>
    <xf numFmtId="0" fontId="3" fillId="0" borderId="0" xfId="0" applyFont="1">
      <alignment vertical="center"/>
    </xf>
    <xf numFmtId="0" fontId="21" fillId="0" borderId="2" xfId="0" applyFont="1" applyBorder="1" applyAlignment="1">
      <alignment horizontal="center" vertical="center"/>
    </xf>
    <xf numFmtId="0" fontId="14" fillId="0" borderId="3" xfId="1" applyFont="1" applyBorder="1" applyAlignment="1">
      <alignment horizontal="center" vertical="center"/>
    </xf>
    <xf numFmtId="0" fontId="4" fillId="0" borderId="7" xfId="0" applyFont="1" applyBorder="1" applyAlignment="1">
      <alignment horizontal="center" vertical="center"/>
    </xf>
    <xf numFmtId="0" fontId="15" fillId="0" borderId="0" xfId="1" applyFont="1" applyBorder="1" applyAlignment="1">
      <alignment horizontal="center" vertical="center"/>
    </xf>
    <xf numFmtId="0" fontId="14" fillId="0" borderId="0" xfId="1" applyFont="1" applyBorder="1" applyAlignment="1">
      <alignment horizontal="center" vertical="center"/>
    </xf>
    <xf numFmtId="0" fontId="13" fillId="0" borderId="2" xfId="0" applyFont="1" applyBorder="1" applyAlignment="1">
      <alignment horizontal="center" vertical="center"/>
    </xf>
    <xf numFmtId="0" fontId="15" fillId="0" borderId="2" xfId="0" applyFont="1" applyBorder="1" applyAlignment="1">
      <alignment horizontal="center" vertical="center"/>
    </xf>
    <xf numFmtId="0" fontId="21" fillId="0" borderId="2" xfId="0" applyFont="1" applyBorder="1">
      <alignment vertical="center"/>
    </xf>
    <xf numFmtId="0" fontId="4" fillId="0" borderId="7" xfId="0" applyFont="1" applyBorder="1" applyAlignment="1">
      <alignment vertical="center"/>
    </xf>
    <xf numFmtId="0" fontId="0" fillId="0" borderId="0" xfId="0" applyBorder="1">
      <alignment vertical="center"/>
    </xf>
    <xf numFmtId="0" fontId="19" fillId="0" borderId="0" xfId="0" applyFont="1" applyBorder="1" applyAlignment="1">
      <alignment horizontal="center" vertical="center"/>
    </xf>
    <xf numFmtId="0" fontId="14" fillId="0" borderId="0" xfId="1" applyFont="1" applyBorder="1" applyAlignment="1">
      <alignment horizontal="left" vertical="center"/>
    </xf>
    <xf numFmtId="0" fontId="4" fillId="0" borderId="2" xfId="0" applyFont="1" applyBorder="1" applyAlignment="1">
      <alignment horizontal="center" vertical="center" wrapText="1"/>
    </xf>
    <xf numFmtId="0" fontId="19" fillId="0" borderId="2" xfId="0" applyFont="1" applyBorder="1" applyAlignment="1">
      <alignment horizontal="center" vertical="center" wrapText="1"/>
    </xf>
    <xf numFmtId="0" fontId="19" fillId="0" borderId="2" xfId="0" applyFont="1" applyBorder="1" applyAlignment="1">
      <alignment vertical="center" wrapText="1"/>
    </xf>
    <xf numFmtId="0" fontId="19" fillId="0" borderId="2" xfId="0" applyFont="1" applyBorder="1" applyAlignment="1">
      <alignment horizontal="left" vertical="center" wrapText="1" indent="1"/>
    </xf>
    <xf numFmtId="0" fontId="4" fillId="0" borderId="2" xfId="0" applyFont="1" applyBorder="1" applyAlignment="1">
      <alignment vertical="center" wrapText="1"/>
    </xf>
    <xf numFmtId="0" fontId="4" fillId="0" borderId="2" xfId="0" applyFont="1" applyBorder="1" applyAlignment="1">
      <alignment horizontal="left" vertical="center" wrapText="1" indent="1"/>
    </xf>
    <xf numFmtId="0" fontId="19" fillId="0" borderId="2" xfId="0" applyFont="1" applyBorder="1" applyAlignment="1">
      <alignment horizontal="right" vertical="center" wrapText="1"/>
    </xf>
    <xf numFmtId="0" fontId="32" fillId="0" borderId="2" xfId="0" applyFont="1" applyBorder="1" applyAlignment="1">
      <alignment horizontal="left" vertical="center" wrapText="1" indent="1"/>
    </xf>
    <xf numFmtId="0" fontId="3" fillId="0" borderId="0" xfId="0" applyFont="1" applyBorder="1">
      <alignment vertical="center"/>
    </xf>
    <xf numFmtId="0" fontId="25" fillId="0" borderId="2" xfId="1" applyFont="1" applyBorder="1" applyAlignment="1">
      <alignment horizontal="center" vertical="center"/>
    </xf>
    <xf numFmtId="0" fontId="13" fillId="0" borderId="2" xfId="1"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3" fillId="0" borderId="0" xfId="0" applyFont="1">
      <alignment vertical="center"/>
    </xf>
    <xf numFmtId="0" fontId="21" fillId="0" borderId="3" xfId="0" applyFont="1" applyBorder="1">
      <alignment vertical="center"/>
    </xf>
    <xf numFmtId="0" fontId="4" fillId="0" borderId="2" xfId="0" applyFont="1" applyBorder="1" applyAlignment="1">
      <alignment horizontal="center" vertical="center" wrapText="1"/>
    </xf>
    <xf numFmtId="0" fontId="25" fillId="0" borderId="2" xfId="0" applyFont="1" applyBorder="1" applyAlignment="1">
      <alignment horizontal="center" vertical="center"/>
    </xf>
    <xf numFmtId="0" fontId="21" fillId="0" borderId="2" xfId="0" applyFont="1" applyBorder="1" applyAlignment="1">
      <alignment horizontal="center" vertical="center"/>
    </xf>
    <xf numFmtId="0" fontId="2" fillId="0" borderId="0" xfId="0" applyFont="1" applyAlignment="1">
      <alignment horizontal="center" vertical="center"/>
    </xf>
    <xf numFmtId="0" fontId="4" fillId="0" borderId="2" xfId="0" applyFont="1" applyBorder="1" applyAlignment="1">
      <alignment horizontal="center" vertical="center"/>
    </xf>
    <xf numFmtId="0" fontId="3" fillId="0" borderId="0" xfId="0" applyFont="1" applyAlignment="1">
      <alignment horizontal="center" vertical="center"/>
    </xf>
    <xf numFmtId="0" fontId="4"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13" fillId="0" borderId="2" xfId="0" applyFont="1" applyFill="1" applyBorder="1" applyAlignment="1">
      <alignment horizontal="center" vertical="center"/>
    </xf>
    <xf numFmtId="0" fontId="19" fillId="0" borderId="0" xfId="0" applyFont="1" applyAlignment="1">
      <alignment horizontal="center" vertical="center"/>
    </xf>
    <xf numFmtId="0" fontId="13" fillId="0" borderId="0" xfId="0" applyFont="1" applyAlignment="1">
      <alignment horizontal="center" vertical="center"/>
    </xf>
    <xf numFmtId="177" fontId="13" fillId="0" borderId="0" xfId="0" applyNumberFormat="1" applyFont="1" applyAlignment="1">
      <alignment horizontal="center" vertical="center"/>
    </xf>
    <xf numFmtId="176" fontId="13" fillId="0" borderId="0" xfId="0" applyNumberFormat="1" applyFont="1" applyAlignment="1">
      <alignment horizontal="center" vertical="center"/>
    </xf>
    <xf numFmtId="0" fontId="21" fillId="0" borderId="2" xfId="1" applyFont="1" applyBorder="1" applyAlignment="1">
      <alignment horizontal="center" vertical="center"/>
    </xf>
    <xf numFmtId="0" fontId="4" fillId="0" borderId="2" xfId="0" applyFont="1" applyBorder="1" applyAlignment="1">
      <alignment horizontal="right" vertical="center"/>
    </xf>
    <xf numFmtId="0" fontId="19" fillId="0" borderId="2" xfId="0" applyFont="1" applyBorder="1">
      <alignment vertical="center"/>
    </xf>
    <xf numFmtId="0" fontId="4" fillId="0" borderId="2" xfId="0" applyFont="1" applyBorder="1" applyAlignment="1">
      <alignment horizontal="left" vertical="center"/>
    </xf>
    <xf numFmtId="0" fontId="4" fillId="0" borderId="4" xfId="0" applyFont="1" applyBorder="1" applyAlignment="1">
      <alignment horizontal="right" vertical="center"/>
    </xf>
    <xf numFmtId="0" fontId="4" fillId="0" borderId="3" xfId="0" applyFont="1" applyBorder="1" applyAlignment="1">
      <alignment horizontal="right" vertical="center"/>
    </xf>
    <xf numFmtId="0" fontId="3" fillId="0" borderId="8" xfId="0" applyFont="1" applyBorder="1" applyAlignment="1">
      <alignment horizontal="center" vertical="center"/>
    </xf>
    <xf numFmtId="0" fontId="0" fillId="0" borderId="2" xfId="0" applyBorder="1">
      <alignment vertical="center"/>
    </xf>
    <xf numFmtId="0" fontId="12" fillId="0" borderId="2" xfId="0" applyFont="1" applyBorder="1" applyAlignment="1">
      <alignment horizontal="center" vertical="center"/>
    </xf>
    <xf numFmtId="0" fontId="4" fillId="0" borderId="2" xfId="0" applyFont="1" applyBorder="1" applyAlignment="1">
      <alignment horizontal="center" vertical="center"/>
    </xf>
    <xf numFmtId="0" fontId="3" fillId="0" borderId="0" xfId="0" applyFont="1">
      <alignment vertical="center"/>
    </xf>
    <xf numFmtId="0" fontId="21" fillId="0" borderId="5" xfId="0" applyFont="1" applyBorder="1">
      <alignment vertical="center"/>
    </xf>
    <xf numFmtId="0" fontId="3" fillId="0" borderId="0" xfId="0" applyFont="1" applyBorder="1" applyAlignment="1">
      <alignment horizontal="center" vertical="center"/>
    </xf>
    <xf numFmtId="176" fontId="25" fillId="0" borderId="2" xfId="0" applyNumberFormat="1" applyFont="1" applyBorder="1" applyAlignment="1">
      <alignment horizontal="center" vertical="center"/>
    </xf>
    <xf numFmtId="176" fontId="22" fillId="0" borderId="2" xfId="0" applyNumberFormat="1" applyFont="1" applyBorder="1" applyAlignment="1">
      <alignment horizontal="center" vertical="center"/>
    </xf>
    <xf numFmtId="178" fontId="13" fillId="0" borderId="2" xfId="1" applyNumberFormat="1" applyFont="1" applyBorder="1" applyAlignment="1">
      <alignment horizontal="center" vertical="center"/>
    </xf>
    <xf numFmtId="0" fontId="13" fillId="0" borderId="0" xfId="0" applyFont="1" applyBorder="1" applyAlignment="1">
      <alignment horizontal="center" vertical="center"/>
    </xf>
    <xf numFmtId="0" fontId="3" fillId="0" borderId="0" xfId="0" applyFont="1" applyBorder="1" applyAlignment="1">
      <alignment horizontal="center" vertical="center"/>
    </xf>
    <xf numFmtId="0" fontId="4" fillId="0" borderId="2" xfId="0" applyFont="1" applyBorder="1" applyAlignment="1">
      <alignment horizontal="center" vertical="center"/>
    </xf>
    <xf numFmtId="0" fontId="3" fillId="0" borderId="0" xfId="0" applyFont="1" applyAlignment="1">
      <alignment horizontal="left" vertical="center"/>
    </xf>
    <xf numFmtId="177" fontId="22" fillId="0" borderId="2" xfId="0" applyNumberFormat="1" applyFont="1" applyBorder="1" applyAlignment="1">
      <alignment horizontal="center" vertical="center"/>
    </xf>
    <xf numFmtId="177" fontId="13" fillId="0" borderId="2" xfId="0" applyNumberFormat="1" applyFont="1" applyBorder="1" applyAlignment="1">
      <alignment horizontal="center" vertical="center"/>
    </xf>
    <xf numFmtId="0" fontId="12" fillId="0" borderId="2" xfId="0" applyFont="1" applyBorder="1" applyAlignment="1">
      <alignment horizontal="left" vertical="center"/>
    </xf>
    <xf numFmtId="176" fontId="13" fillId="0" borderId="2" xfId="0" applyNumberFormat="1" applyFont="1" applyBorder="1" applyAlignment="1">
      <alignment horizontal="center" vertical="center"/>
    </xf>
    <xf numFmtId="0" fontId="12" fillId="0" borderId="3" xfId="0" applyFont="1" applyBorder="1">
      <alignment vertical="center"/>
    </xf>
    <xf numFmtId="0" fontId="35" fillId="0" borderId="2" xfId="0" applyFont="1" applyBorder="1" applyAlignment="1">
      <alignment horizontal="center" vertical="center"/>
    </xf>
    <xf numFmtId="0" fontId="24" fillId="0" borderId="2" xfId="0" applyFont="1" applyBorder="1" applyAlignment="1">
      <alignment horizontal="right" vertical="center"/>
    </xf>
    <xf numFmtId="0" fontId="4" fillId="0" borderId="2" xfId="0" applyFont="1" applyBorder="1" applyAlignment="1">
      <alignment horizontal="center" vertical="center"/>
    </xf>
    <xf numFmtId="0" fontId="4" fillId="0" borderId="2" xfId="0" applyFont="1" applyBorder="1" applyAlignment="1">
      <alignment horizontal="right" vertical="center"/>
    </xf>
    <xf numFmtId="0" fontId="4" fillId="0" borderId="2" xfId="0" applyFont="1" applyBorder="1" applyAlignment="1">
      <alignment horizontal="center" vertical="center" wrapText="1"/>
    </xf>
    <xf numFmtId="0" fontId="4" fillId="0" borderId="3" xfId="0" applyFont="1" applyBorder="1" applyAlignment="1">
      <alignment horizontal="right" vertical="center"/>
    </xf>
    <xf numFmtId="0" fontId="4" fillId="0" borderId="4" xfId="0" applyFont="1" applyBorder="1" applyAlignment="1">
      <alignment horizontal="right" vertical="center"/>
    </xf>
    <xf numFmtId="0" fontId="4" fillId="0" borderId="2" xfId="0" applyFont="1" applyBorder="1" applyAlignment="1">
      <alignment horizontal="center" vertical="center"/>
    </xf>
    <xf numFmtId="0" fontId="21" fillId="0" borderId="5" xfId="0" applyFont="1" applyBorder="1">
      <alignment vertical="center"/>
    </xf>
    <xf numFmtId="0" fontId="4" fillId="0" borderId="2" xfId="0" applyFont="1" applyBorder="1" applyAlignment="1">
      <alignment horizontal="right" vertical="center"/>
    </xf>
    <xf numFmtId="0" fontId="4" fillId="0" borderId="2" xfId="0" applyFont="1" applyBorder="1" applyAlignment="1">
      <alignment horizontal="center" vertical="center" wrapText="1"/>
    </xf>
    <xf numFmtId="0" fontId="13" fillId="0" borderId="3" xfId="0" applyFont="1" applyFill="1" applyBorder="1" applyAlignment="1">
      <alignment horizontal="center" vertical="center"/>
    </xf>
    <xf numFmtId="0" fontId="3" fillId="0" borderId="0" xfId="0" applyFont="1" applyBorder="1" applyAlignment="1">
      <alignment horizontal="center" vertical="center"/>
    </xf>
    <xf numFmtId="0" fontId="4" fillId="0" borderId="3" xfId="0" applyFont="1" applyBorder="1" applyAlignment="1">
      <alignment horizontal="right" vertical="center"/>
    </xf>
    <xf numFmtId="0" fontId="4" fillId="0" borderId="4" xfId="0" applyFont="1" applyBorder="1" applyAlignment="1">
      <alignment horizontal="right" vertical="center"/>
    </xf>
    <xf numFmtId="0" fontId="12" fillId="0" borderId="3" xfId="0" applyFont="1" applyBorder="1">
      <alignment vertical="center"/>
    </xf>
    <xf numFmtId="0" fontId="37" fillId="0" borderId="2" xfId="0" applyFont="1" applyBorder="1" applyAlignment="1">
      <alignment horizontal="center" vertical="center"/>
    </xf>
    <xf numFmtId="0" fontId="4" fillId="0" borderId="2" xfId="0" applyFont="1" applyBorder="1" applyAlignment="1">
      <alignment horizontal="center" vertical="center"/>
    </xf>
    <xf numFmtId="0" fontId="15" fillId="0" borderId="3" xfId="0" applyFont="1" applyBorder="1" applyAlignment="1">
      <alignment horizontal="center" vertical="center"/>
    </xf>
    <xf numFmtId="0" fontId="3" fillId="0" borderId="0" xfId="0" applyFont="1">
      <alignment vertical="center"/>
    </xf>
    <xf numFmtId="0" fontId="3" fillId="0" borderId="0" xfId="0" applyFont="1" applyAlignment="1">
      <alignment horizontal="left" vertical="center"/>
    </xf>
    <xf numFmtId="0" fontId="3" fillId="0" borderId="2" xfId="0" applyFont="1" applyBorder="1" applyAlignment="1">
      <alignment horizontal="center" vertical="center"/>
    </xf>
    <xf numFmtId="0" fontId="32" fillId="0" borderId="2" xfId="0" applyFont="1" applyBorder="1" applyAlignment="1">
      <alignment horizontal="center" vertical="center" wrapText="1"/>
    </xf>
    <xf numFmtId="0" fontId="19" fillId="0" borderId="0" xfId="0" applyFont="1" applyBorder="1" applyAlignment="1">
      <alignment horizontal="center" vertical="center" wrapText="1"/>
    </xf>
    <xf numFmtId="0" fontId="32" fillId="0" borderId="0" xfId="0" applyFont="1" applyBorder="1" applyAlignment="1">
      <alignment horizontal="center" vertical="center" wrapText="1"/>
    </xf>
    <xf numFmtId="0" fontId="34" fillId="0" borderId="2" xfId="0" applyFont="1" applyBorder="1">
      <alignment vertical="center"/>
    </xf>
    <xf numFmtId="0" fontId="4" fillId="0" borderId="2" xfId="0" applyFont="1" applyBorder="1" applyAlignment="1">
      <alignment horizontal="center" vertical="center"/>
    </xf>
    <xf numFmtId="0" fontId="4" fillId="0" borderId="2" xfId="0" applyFont="1" applyBorder="1" applyAlignment="1">
      <alignment horizontal="right" vertical="center"/>
    </xf>
    <xf numFmtId="0" fontId="0" fillId="0" borderId="2" xfId="0" applyBorder="1">
      <alignment vertical="center"/>
    </xf>
    <xf numFmtId="0" fontId="19" fillId="0" borderId="2" xfId="0" applyFont="1" applyBorder="1" applyAlignment="1">
      <alignment horizontal="center" vertical="center"/>
    </xf>
    <xf numFmtId="0" fontId="3" fillId="0" borderId="0" xfId="0" applyFont="1" applyBorder="1" applyAlignment="1">
      <alignment horizontal="center" vertical="center"/>
    </xf>
    <xf numFmtId="0" fontId="39" fillId="0" borderId="2" xfId="0" applyFont="1" applyBorder="1" applyAlignment="1">
      <alignment horizontal="center" vertical="center"/>
    </xf>
    <xf numFmtId="0" fontId="18" fillId="0" borderId="2" xfId="0" applyFont="1" applyBorder="1">
      <alignment vertical="center"/>
    </xf>
    <xf numFmtId="0" fontId="4" fillId="0" borderId="2" xfId="0" applyFont="1" applyFill="1" applyBorder="1" applyAlignment="1">
      <alignment horizontal="center" vertical="center"/>
    </xf>
    <xf numFmtId="176" fontId="28" fillId="0" borderId="0" xfId="0" applyNumberFormat="1" applyFont="1">
      <alignment vertical="center"/>
    </xf>
    <xf numFmtId="0" fontId="4" fillId="0" borderId="2" xfId="0" applyFont="1" applyBorder="1" applyAlignment="1">
      <alignment horizontal="center" vertical="center"/>
    </xf>
    <xf numFmtId="0" fontId="4" fillId="0" borderId="2" xfId="0" applyFont="1" applyBorder="1" applyAlignment="1">
      <alignment horizontal="right" vertical="center"/>
    </xf>
    <xf numFmtId="0" fontId="19" fillId="0" borderId="2" xfId="0" applyFont="1" applyBorder="1" applyAlignment="1">
      <alignment horizontal="center" vertical="center"/>
    </xf>
    <xf numFmtId="0" fontId="4" fillId="0" borderId="2" xfId="0" applyFont="1" applyBorder="1" applyAlignment="1">
      <alignment horizontal="center" vertical="center"/>
    </xf>
    <xf numFmtId="0" fontId="3" fillId="0" borderId="0" xfId="0" applyFont="1">
      <alignment vertical="center"/>
    </xf>
    <xf numFmtId="0" fontId="21" fillId="0" borderId="3" xfId="0" applyFont="1" applyBorder="1">
      <alignment vertical="center"/>
    </xf>
    <xf numFmtId="0" fontId="3" fillId="0" borderId="0" xfId="0" applyFont="1" applyAlignment="1">
      <alignment horizontal="left" vertical="center"/>
    </xf>
    <xf numFmtId="0" fontId="4" fillId="0" borderId="2" xfId="0" applyFont="1" applyBorder="1" applyAlignment="1">
      <alignment horizontal="right" vertical="center"/>
    </xf>
    <xf numFmtId="0" fontId="3" fillId="0" borderId="2" xfId="0" applyFont="1" applyBorder="1" applyAlignment="1">
      <alignment horizontal="center" vertical="center"/>
    </xf>
    <xf numFmtId="0" fontId="21" fillId="0" borderId="2" xfId="0" applyFont="1" applyBorder="1">
      <alignment vertical="center"/>
    </xf>
    <xf numFmtId="0" fontId="19" fillId="0" borderId="2" xfId="0" applyFont="1" applyBorder="1" applyAlignment="1">
      <alignment horizontal="center" vertical="center"/>
    </xf>
    <xf numFmtId="0" fontId="19" fillId="0" borderId="2" xfId="0" applyFont="1" applyBorder="1" applyAlignment="1">
      <alignment horizontal="center" vertical="center" wrapText="1"/>
    </xf>
    <xf numFmtId="0" fontId="19" fillId="0" borderId="3" xfId="0" applyFont="1" applyBorder="1" applyAlignment="1">
      <alignment horizontal="center" vertical="center"/>
    </xf>
    <xf numFmtId="0" fontId="4" fillId="0" borderId="2" xfId="0" applyFont="1" applyBorder="1" applyAlignment="1">
      <alignment horizontal="center" vertical="center"/>
    </xf>
    <xf numFmtId="0" fontId="3" fillId="0" borderId="0" xfId="0" applyFont="1">
      <alignment vertical="center"/>
    </xf>
    <xf numFmtId="0" fontId="4" fillId="0" borderId="6" xfId="0" applyFont="1" applyBorder="1" applyAlignment="1">
      <alignment horizontal="center" vertical="center"/>
    </xf>
    <xf numFmtId="0" fontId="3" fillId="0" borderId="2" xfId="0" applyFont="1" applyBorder="1" applyAlignment="1">
      <alignment horizontal="center" vertical="center"/>
    </xf>
    <xf numFmtId="0" fontId="19" fillId="0" borderId="2" xfId="0" applyFont="1" applyBorder="1" applyAlignment="1">
      <alignment horizontal="center" vertical="center"/>
    </xf>
    <xf numFmtId="0" fontId="40" fillId="0" borderId="0" xfId="0" applyFont="1" applyBorder="1" applyAlignment="1">
      <alignment horizontal="center" vertical="center"/>
    </xf>
    <xf numFmtId="0" fontId="4" fillId="0" borderId="2" xfId="0" applyFont="1" applyBorder="1" applyAlignment="1">
      <alignment vertical="center" wrapText="1"/>
    </xf>
    <xf numFmtId="0" fontId="3" fillId="0" borderId="0" xfId="0" applyFont="1">
      <alignment vertical="center"/>
    </xf>
    <xf numFmtId="0" fontId="4" fillId="0" borderId="2" xfId="0" applyFont="1" applyBorder="1" applyAlignment="1">
      <alignment horizontal="center" vertical="center"/>
    </xf>
    <xf numFmtId="0" fontId="3" fillId="0" borderId="0" xfId="0" applyFont="1" applyAlignment="1">
      <alignment horizontal="left" vertical="center"/>
    </xf>
    <xf numFmtId="0" fontId="4" fillId="0" borderId="0" xfId="0" applyFont="1" applyAlignment="1">
      <alignment vertical="center" wrapText="1"/>
    </xf>
    <xf numFmtId="0" fontId="3" fillId="0" borderId="0" xfId="0" applyFont="1" applyAlignment="1">
      <alignment horizontal="center" vertical="center"/>
    </xf>
    <xf numFmtId="0" fontId="3" fillId="0" borderId="2" xfId="0" applyFont="1" applyBorder="1" applyAlignment="1">
      <alignment horizontal="center" vertical="center"/>
    </xf>
    <xf numFmtId="0" fontId="19" fillId="0" borderId="2" xfId="0" applyFont="1" applyBorder="1" applyAlignment="1">
      <alignment horizontal="center" vertical="center"/>
    </xf>
    <xf numFmtId="0" fontId="13" fillId="0" borderId="0" xfId="1" applyFont="1" applyBorder="1" applyAlignment="1">
      <alignment horizontal="center" vertical="center"/>
    </xf>
    <xf numFmtId="0" fontId="39" fillId="0" borderId="2" xfId="1" applyFont="1" applyBorder="1" applyAlignment="1">
      <alignment horizontal="center" vertical="center"/>
    </xf>
    <xf numFmtId="0" fontId="19" fillId="2" borderId="12" xfId="0" applyFont="1" applyFill="1" applyBorder="1" applyAlignment="1">
      <alignment horizontal="center" vertical="center" wrapText="1"/>
    </xf>
    <xf numFmtId="0" fontId="19" fillId="2" borderId="14" xfId="0" applyFont="1" applyFill="1" applyBorder="1" applyAlignment="1">
      <alignment horizontal="center" vertical="center" wrapText="1"/>
    </xf>
    <xf numFmtId="0" fontId="19" fillId="2" borderId="13"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8" fillId="0" borderId="2" xfId="0" applyFont="1" applyBorder="1" applyAlignment="1">
      <alignment horizontal="center" vertical="center"/>
    </xf>
    <xf numFmtId="0" fontId="3" fillId="0" borderId="0" xfId="0" applyFont="1">
      <alignment vertical="center"/>
    </xf>
    <xf numFmtId="0" fontId="4" fillId="0" borderId="2" xfId="0" applyFont="1" applyBorder="1" applyAlignment="1">
      <alignment horizontal="center" vertical="center"/>
    </xf>
    <xf numFmtId="0" fontId="4" fillId="0" borderId="2" xfId="0" applyFont="1" applyBorder="1" applyAlignment="1">
      <alignment vertical="center" wrapText="1"/>
    </xf>
    <xf numFmtId="0" fontId="16" fillId="0" borderId="0" xfId="0" applyFont="1" applyAlignment="1">
      <alignment horizontal="left" vertical="center" readingOrder="1"/>
    </xf>
    <xf numFmtId="0" fontId="4" fillId="0" borderId="2" xfId="0" applyFont="1" applyBorder="1" applyAlignment="1">
      <alignment horizontal="center" vertical="center" wrapText="1"/>
    </xf>
    <xf numFmtId="0" fontId="19" fillId="0" borderId="2" xfId="0" applyFont="1" applyBorder="1" applyAlignment="1">
      <alignment horizontal="center" vertical="center" wrapText="1"/>
    </xf>
    <xf numFmtId="0" fontId="14" fillId="0" borderId="2" xfId="1" applyFont="1" applyBorder="1" applyAlignment="1">
      <alignment horizontal="center" vertical="center"/>
    </xf>
    <xf numFmtId="0" fontId="3" fillId="0" borderId="2" xfId="0" applyFont="1" applyBorder="1" applyAlignment="1">
      <alignment horizontal="center" vertical="center"/>
    </xf>
    <xf numFmtId="0" fontId="19" fillId="0" borderId="2" xfId="0" applyFont="1" applyBorder="1" applyAlignment="1">
      <alignment horizontal="center" vertical="center"/>
    </xf>
    <xf numFmtId="0" fontId="13" fillId="0" borderId="0" xfId="0" applyFont="1">
      <alignment vertical="center"/>
    </xf>
    <xf numFmtId="0" fontId="13" fillId="0" borderId="0" xfId="0" applyFont="1" applyAlignment="1">
      <alignment horizontal="left" vertical="center" readingOrder="1"/>
    </xf>
    <xf numFmtId="0" fontId="14" fillId="0" borderId="3" xfId="1" applyFont="1" applyBorder="1" applyAlignment="1">
      <alignment horizontal="center" vertical="center" wrapText="1"/>
    </xf>
    <xf numFmtId="0" fontId="24" fillId="0" borderId="0" xfId="0" applyFont="1">
      <alignment vertical="center"/>
    </xf>
    <xf numFmtId="0" fontId="19" fillId="0" borderId="2" xfId="0" applyFont="1" applyBorder="1" applyAlignment="1">
      <alignment horizontal="center" vertical="center"/>
    </xf>
    <xf numFmtId="0" fontId="30" fillId="0" borderId="0" xfId="1" applyFont="1" applyBorder="1" applyAlignment="1">
      <alignment horizontal="center" vertical="center"/>
    </xf>
    <xf numFmtId="0" fontId="45" fillId="0" borderId="0" xfId="0" applyFont="1">
      <alignment vertical="center"/>
    </xf>
    <xf numFmtId="0" fontId="18" fillId="0" borderId="0" xfId="0" applyFont="1">
      <alignment vertical="center"/>
    </xf>
    <xf numFmtId="0" fontId="41" fillId="0" borderId="2" xfId="1" applyFont="1" applyBorder="1" applyAlignment="1">
      <alignment horizontal="left" vertical="center"/>
    </xf>
    <xf numFmtId="0" fontId="19" fillId="0" borderId="2" xfId="0" applyFont="1" applyBorder="1" applyAlignment="1">
      <alignment vertical="center"/>
    </xf>
    <xf numFmtId="0" fontId="19" fillId="0" borderId="2" xfId="0" applyFont="1" applyBorder="1" applyAlignment="1">
      <alignment horizontal="right" vertical="center"/>
    </xf>
    <xf numFmtId="0" fontId="41" fillId="0" borderId="2" xfId="1" applyFont="1" applyBorder="1" applyAlignment="1">
      <alignment vertical="center"/>
    </xf>
    <xf numFmtId="0" fontId="47" fillId="0" borderId="0" xfId="0" applyFont="1">
      <alignment vertical="center"/>
    </xf>
    <xf numFmtId="0" fontId="24" fillId="0" borderId="0" xfId="0" applyFont="1" applyAlignment="1">
      <alignment horizontal="center" vertical="center"/>
    </xf>
    <xf numFmtId="0" fontId="48" fillId="0" borderId="0" xfId="1" applyFont="1" applyAlignment="1">
      <alignment horizontal="center" vertical="center"/>
    </xf>
    <xf numFmtId="0" fontId="47" fillId="0" borderId="0" xfId="0" applyFont="1" applyAlignment="1">
      <alignment horizontal="left" vertical="center"/>
    </xf>
    <xf numFmtId="0" fontId="49" fillId="13" borderId="2" xfId="0" applyFont="1" applyFill="1" applyBorder="1" applyAlignment="1">
      <alignment horizontal="center" vertical="center"/>
    </xf>
    <xf numFmtId="0" fontId="50" fillId="9" borderId="2" xfId="1" applyFont="1" applyFill="1" applyBorder="1" applyAlignment="1">
      <alignment horizontal="center" vertical="center"/>
    </xf>
    <xf numFmtId="0" fontId="47" fillId="0" borderId="2" xfId="0" applyFont="1" applyBorder="1" applyAlignment="1">
      <alignment vertical="center"/>
    </xf>
    <xf numFmtId="0" fontId="49" fillId="14" borderId="2" xfId="0" applyFont="1" applyFill="1" applyBorder="1" applyAlignment="1">
      <alignment horizontal="center" vertical="center"/>
    </xf>
    <xf numFmtId="0" fontId="50" fillId="12" borderId="2" xfId="1" applyFont="1" applyFill="1" applyBorder="1" applyAlignment="1">
      <alignment horizontal="center" vertical="center"/>
    </xf>
    <xf numFmtId="0" fontId="49" fillId="16" borderId="2" xfId="0" applyFont="1" applyFill="1" applyBorder="1" applyAlignment="1">
      <alignment horizontal="center" vertical="center"/>
    </xf>
    <xf numFmtId="0" fontId="50" fillId="3" borderId="2" xfId="1" applyFont="1" applyFill="1" applyBorder="1" applyAlignment="1">
      <alignment horizontal="center" vertical="center"/>
    </xf>
    <xf numFmtId="0" fontId="49" fillId="10" borderId="2" xfId="0" applyFont="1" applyFill="1" applyBorder="1" applyAlignment="1">
      <alignment horizontal="center" vertical="center"/>
    </xf>
    <xf numFmtId="0" fontId="50" fillId="11" borderId="2" xfId="1" applyFont="1" applyFill="1" applyBorder="1" applyAlignment="1">
      <alignment horizontal="center" vertical="center"/>
    </xf>
    <xf numFmtId="0" fontId="49" fillId="0" borderId="2" xfId="0" applyFont="1" applyBorder="1" applyAlignment="1">
      <alignment horizontal="center" vertical="center"/>
    </xf>
    <xf numFmtId="0" fontId="50" fillId="0" borderId="2" xfId="1" applyFont="1" applyBorder="1" applyAlignment="1">
      <alignment horizontal="center" vertical="center"/>
    </xf>
    <xf numFmtId="0" fontId="49" fillId="15" borderId="2" xfId="0" applyFont="1" applyFill="1" applyBorder="1" applyAlignment="1">
      <alignment horizontal="center" vertical="center"/>
    </xf>
    <xf numFmtId="0" fontId="50" fillId="5" borderId="2" xfId="1" applyFont="1" applyFill="1" applyBorder="1" applyAlignment="1">
      <alignment horizontal="center" vertical="center"/>
    </xf>
    <xf numFmtId="0" fontId="4" fillId="0" borderId="2" xfId="0" applyFont="1" applyBorder="1" applyAlignment="1">
      <alignment horizontal="center" vertical="center"/>
    </xf>
    <xf numFmtId="0" fontId="4" fillId="0" borderId="2" xfId="0" applyFont="1" applyBorder="1" applyAlignment="1">
      <alignment horizontal="center" vertical="center" wrapText="1"/>
    </xf>
    <xf numFmtId="0" fontId="14" fillId="0" borderId="2" xfId="1" applyFont="1" applyBorder="1" applyAlignment="1">
      <alignment horizontal="center" vertical="center"/>
    </xf>
    <xf numFmtId="0" fontId="4" fillId="0" borderId="5" xfId="0" applyFont="1" applyBorder="1" applyAlignment="1">
      <alignment vertical="center" wrapText="1"/>
    </xf>
    <xf numFmtId="0" fontId="19" fillId="0" borderId="2" xfId="0" applyFont="1" applyBorder="1" applyAlignment="1">
      <alignment horizontal="center" vertical="center" wrapText="1"/>
    </xf>
    <xf numFmtId="0" fontId="3" fillId="0" borderId="2" xfId="0" applyFont="1" applyBorder="1" applyAlignment="1">
      <alignment horizontal="center" vertical="center"/>
    </xf>
    <xf numFmtId="0" fontId="12" fillId="0" borderId="2" xfId="0" applyFont="1" applyBorder="1">
      <alignment vertical="center"/>
    </xf>
    <xf numFmtId="0" fontId="4" fillId="3" borderId="2" xfId="0" applyFont="1" applyFill="1" applyBorder="1" applyAlignment="1">
      <alignment horizontal="center" vertical="center"/>
    </xf>
    <xf numFmtId="0" fontId="19" fillId="0" borderId="2" xfId="0" applyFont="1" applyBorder="1" applyAlignment="1">
      <alignment horizontal="center" vertical="center"/>
    </xf>
    <xf numFmtId="0" fontId="4" fillId="4" borderId="2" xfId="0" applyFont="1" applyFill="1" applyBorder="1" applyAlignment="1">
      <alignment horizontal="center" vertical="center"/>
    </xf>
    <xf numFmtId="0" fontId="41" fillId="0" borderId="2" xfId="1" applyFont="1" applyBorder="1" applyAlignment="1">
      <alignment horizontal="center" vertical="center"/>
    </xf>
    <xf numFmtId="0" fontId="21" fillId="0" borderId="3" xfId="0" applyFont="1" applyBorder="1" applyAlignment="1">
      <alignment horizontal="center" vertical="center"/>
    </xf>
    <xf numFmtId="0" fontId="4" fillId="0" borderId="0" xfId="0" applyFont="1" applyBorder="1" applyAlignment="1">
      <alignment horizontal="left" vertical="center"/>
    </xf>
    <xf numFmtId="0" fontId="19" fillId="18" borderId="2" xfId="0" applyFont="1" applyFill="1" applyBorder="1" applyAlignment="1">
      <alignment horizontal="center" vertical="center"/>
    </xf>
    <xf numFmtId="0" fontId="19" fillId="12" borderId="2" xfId="0" applyFont="1" applyFill="1" applyBorder="1" applyAlignment="1">
      <alignment horizontal="center" vertical="center"/>
    </xf>
    <xf numFmtId="0" fontId="4" fillId="17" borderId="2" xfId="0" applyFont="1" applyFill="1" applyBorder="1" applyAlignment="1">
      <alignment horizontal="center" vertical="center"/>
    </xf>
    <xf numFmtId="0" fontId="4" fillId="18" borderId="2" xfId="0" applyFont="1" applyFill="1" applyBorder="1">
      <alignment vertical="center"/>
    </xf>
    <xf numFmtId="0" fontId="19" fillId="0" borderId="2" xfId="0" applyFont="1" applyFill="1" applyBorder="1" applyAlignment="1">
      <alignment horizontal="center" vertical="center"/>
    </xf>
    <xf numFmtId="0" fontId="19" fillId="19" borderId="2" xfId="0" applyFont="1" applyFill="1" applyBorder="1" applyAlignment="1">
      <alignment horizontal="center" vertical="center"/>
    </xf>
    <xf numFmtId="0" fontId="21" fillId="0" borderId="0" xfId="0" applyFont="1" applyBorder="1" applyAlignment="1">
      <alignment horizontal="center" vertical="center"/>
    </xf>
    <xf numFmtId="0" fontId="14" fillId="0" borderId="2" xfId="1" applyFont="1" applyBorder="1" applyAlignment="1">
      <alignment horizontal="center" vertical="center" wrapText="1"/>
    </xf>
    <xf numFmtId="0" fontId="14" fillId="0" borderId="2" xfId="1" applyFont="1" applyFill="1" applyBorder="1" applyAlignment="1">
      <alignment horizontal="center" vertical="center"/>
    </xf>
    <xf numFmtId="0" fontId="12" fillId="0" borderId="7" xfId="0" applyFont="1" applyBorder="1" applyAlignment="1">
      <alignment horizontal="center" vertical="center"/>
    </xf>
    <xf numFmtId="0" fontId="4" fillId="0" borderId="0" xfId="0" applyFont="1" applyAlignment="1">
      <alignment horizontal="left" vertical="center"/>
    </xf>
    <xf numFmtId="0" fontId="21" fillId="0" borderId="0" xfId="0" applyFont="1" applyBorder="1">
      <alignment vertical="center"/>
    </xf>
    <xf numFmtId="0" fontId="15" fillId="0" borderId="2" xfId="1" applyFont="1" applyFill="1" applyBorder="1" applyAlignment="1">
      <alignment horizontal="center" vertical="center"/>
    </xf>
    <xf numFmtId="0" fontId="28" fillId="0" borderId="0" xfId="0" applyFont="1" applyAlignment="1">
      <alignment horizontal="center" vertical="center"/>
    </xf>
    <xf numFmtId="0" fontId="4" fillId="0" borderId="2" xfId="0" applyFont="1" applyBorder="1" applyAlignment="1">
      <alignment horizontal="center" vertical="center"/>
    </xf>
    <xf numFmtId="0" fontId="14" fillId="0" borderId="2" xfId="1" applyFont="1" applyBorder="1" applyAlignment="1">
      <alignment horizontal="center" vertical="center"/>
    </xf>
    <xf numFmtId="0" fontId="19" fillId="0" borderId="2" xfId="0" applyFont="1" applyBorder="1" applyAlignment="1">
      <alignment horizontal="center" vertical="center" wrapText="1"/>
    </xf>
    <xf numFmtId="0" fontId="3" fillId="0" borderId="2" xfId="0" applyFont="1" applyBorder="1" applyAlignment="1">
      <alignment horizontal="center" vertical="center"/>
    </xf>
    <xf numFmtId="177" fontId="22" fillId="0" borderId="2" xfId="0" applyNumberFormat="1" applyFont="1" applyBorder="1" applyAlignment="1">
      <alignment horizontal="center" vertical="center"/>
    </xf>
    <xf numFmtId="0" fontId="0" fillId="0" borderId="2" xfId="0" applyBorder="1">
      <alignment vertical="center"/>
    </xf>
    <xf numFmtId="0" fontId="19" fillId="0" borderId="2" xfId="0" applyFont="1" applyBorder="1" applyAlignment="1">
      <alignment horizontal="center" vertical="center"/>
    </xf>
    <xf numFmtId="0" fontId="47" fillId="0" borderId="0" xfId="0" applyFont="1" applyAlignment="1">
      <alignment horizontal="left" vertical="center"/>
    </xf>
    <xf numFmtId="0" fontId="14" fillId="0" borderId="2" xfId="1" applyFont="1" applyBorder="1" applyAlignment="1">
      <alignment horizontal="center" vertical="center"/>
    </xf>
    <xf numFmtId="0" fontId="0" fillId="0" borderId="2" xfId="0" applyBorder="1">
      <alignment vertical="center"/>
    </xf>
    <xf numFmtId="0" fontId="19" fillId="0" borderId="2" xfId="0" applyFont="1" applyBorder="1" applyAlignment="1">
      <alignment horizontal="center" vertical="center"/>
    </xf>
    <xf numFmtId="0" fontId="19" fillId="6" borderId="2" xfId="0" applyFont="1" applyFill="1" applyBorder="1" applyAlignment="1">
      <alignment horizontal="center" vertical="center"/>
    </xf>
    <xf numFmtId="0" fontId="19" fillId="0" borderId="6" xfId="0" applyFont="1" applyBorder="1" applyAlignment="1">
      <alignment horizontal="center" vertical="center"/>
    </xf>
    <xf numFmtId="0" fontId="41" fillId="0" borderId="6" xfId="1" applyFont="1" applyBorder="1" applyAlignment="1">
      <alignment horizontal="center" vertical="center"/>
    </xf>
    <xf numFmtId="0" fontId="4" fillId="0" borderId="2" xfId="0" applyFont="1" applyFill="1" applyBorder="1" applyAlignment="1">
      <alignment horizontal="right" vertical="center"/>
    </xf>
    <xf numFmtId="177" fontId="19" fillId="0" borderId="2" xfId="0" applyNumberFormat="1" applyFont="1" applyBorder="1" applyAlignment="1">
      <alignment horizontal="center" vertical="center"/>
    </xf>
    <xf numFmtId="0" fontId="14" fillId="0" borderId="2" xfId="0" applyFont="1" applyBorder="1">
      <alignment vertical="center"/>
    </xf>
    <xf numFmtId="0" fontId="14" fillId="0" borderId="2" xfId="0" applyFont="1" applyBorder="1" applyAlignment="1">
      <alignment horizontal="right" vertical="center"/>
    </xf>
    <xf numFmtId="0" fontId="4" fillId="0" borderId="2" xfId="0" applyFont="1" applyBorder="1" applyAlignment="1">
      <alignment horizontal="center" vertical="center"/>
    </xf>
    <xf numFmtId="0" fontId="4" fillId="0" borderId="7" xfId="0" applyFont="1" applyBorder="1" applyAlignment="1">
      <alignment horizontal="center" vertical="center"/>
    </xf>
    <xf numFmtId="0" fontId="19" fillId="0" borderId="2" xfId="0" applyFont="1" applyBorder="1" applyAlignment="1">
      <alignment horizontal="center" vertical="center"/>
    </xf>
    <xf numFmtId="0" fontId="19" fillId="0" borderId="2" xfId="0" applyFont="1" applyBorder="1" applyAlignment="1">
      <alignment horizontal="center"/>
    </xf>
    <xf numFmtId="0" fontId="19" fillId="0" borderId="7" xfId="0" applyFont="1" applyBorder="1" applyAlignment="1">
      <alignment horizontal="center" vertical="center" wrapText="1"/>
    </xf>
    <xf numFmtId="0" fontId="4" fillId="0" borderId="7" xfId="0" applyFont="1" applyBorder="1" applyAlignment="1">
      <alignment horizontal="center" vertical="center" wrapText="1"/>
    </xf>
    <xf numFmtId="0" fontId="44" fillId="0" borderId="9" xfId="0" applyFont="1" applyBorder="1" applyAlignment="1">
      <alignment horizontal="right" vertical="center" wrapText="1"/>
    </xf>
    <xf numFmtId="0" fontId="44" fillId="0" borderId="10" xfId="0" applyFont="1" applyBorder="1" applyAlignment="1">
      <alignment horizontal="right" vertical="center" wrapText="1"/>
    </xf>
    <xf numFmtId="0" fontId="19" fillId="0" borderId="3" xfId="0" applyFont="1" applyBorder="1" applyAlignment="1">
      <alignment horizontal="center" vertical="center"/>
    </xf>
    <xf numFmtId="0" fontId="18" fillId="0" borderId="4" xfId="0" applyFont="1" applyBorder="1" applyAlignment="1">
      <alignment horizontal="center" vertical="center"/>
    </xf>
    <xf numFmtId="0" fontId="18" fillId="0" borderId="5" xfId="0" applyFont="1" applyBorder="1" applyAlignment="1">
      <alignment horizontal="center" vertical="center"/>
    </xf>
    <xf numFmtId="0" fontId="0" fillId="0" borderId="4" xfId="0" applyBorder="1">
      <alignment vertical="center"/>
    </xf>
    <xf numFmtId="0" fontId="21" fillId="0" borderId="2" xfId="0" applyFont="1" applyBorder="1">
      <alignment vertical="center"/>
    </xf>
    <xf numFmtId="0" fontId="22" fillId="0" borderId="3" xfId="0" applyFont="1" applyBorder="1" applyAlignment="1">
      <alignment horizontal="left" vertical="center"/>
    </xf>
    <xf numFmtId="0" fontId="22" fillId="0" borderId="4" xfId="0" applyFont="1" applyBorder="1" applyAlignment="1">
      <alignment horizontal="left" vertical="center"/>
    </xf>
    <xf numFmtId="0" fontId="22" fillId="0" borderId="5" xfId="0" applyFont="1" applyBorder="1" applyAlignment="1">
      <alignment horizontal="left"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14" fillId="0" borderId="3" xfId="0" applyFont="1" applyBorder="1">
      <alignment vertical="center"/>
    </xf>
    <xf numFmtId="0" fontId="14" fillId="0" borderId="4" xfId="0" applyFont="1" applyBorder="1">
      <alignment vertical="center"/>
    </xf>
    <xf numFmtId="0" fontId="14" fillId="0" borderId="5" xfId="0" applyFont="1" applyBorder="1">
      <alignment vertical="center"/>
    </xf>
    <xf numFmtId="0" fontId="13" fillId="0" borderId="3" xfId="0" applyFont="1" applyBorder="1" applyAlignment="1">
      <alignment horizontal="left" vertical="center"/>
    </xf>
    <xf numFmtId="0" fontId="13" fillId="0" borderId="4" xfId="0" applyFont="1" applyBorder="1" applyAlignment="1">
      <alignment horizontal="left" vertical="center"/>
    </xf>
    <xf numFmtId="0" fontId="13" fillId="0" borderId="5" xfId="0" applyFont="1" applyBorder="1" applyAlignment="1">
      <alignment horizontal="left" vertical="center"/>
    </xf>
    <xf numFmtId="176" fontId="13" fillId="0" borderId="3" xfId="0" applyNumberFormat="1" applyFont="1" applyBorder="1" applyAlignment="1">
      <alignment horizontal="left" vertical="center"/>
    </xf>
    <xf numFmtId="176" fontId="13" fillId="0" borderId="4" xfId="0" applyNumberFormat="1" applyFont="1" applyBorder="1" applyAlignment="1">
      <alignment horizontal="left" vertical="center"/>
    </xf>
    <xf numFmtId="176" fontId="13" fillId="0" borderId="5" xfId="0" applyNumberFormat="1" applyFont="1" applyBorder="1" applyAlignment="1">
      <alignment horizontal="left" vertical="center"/>
    </xf>
    <xf numFmtId="0" fontId="21" fillId="0" borderId="3" xfId="0" applyFont="1" applyBorder="1">
      <alignment vertical="center"/>
    </xf>
    <xf numFmtId="0" fontId="21" fillId="0" borderId="4" xfId="0" applyFont="1" applyBorder="1">
      <alignment vertical="center"/>
    </xf>
    <xf numFmtId="0" fontId="21" fillId="0" borderId="5" xfId="0" applyFont="1" applyBorder="1">
      <alignment vertical="center"/>
    </xf>
    <xf numFmtId="0" fontId="47" fillId="0" borderId="0" xfId="0" applyFont="1">
      <alignment vertical="center"/>
    </xf>
    <xf numFmtId="0" fontId="22" fillId="0" borderId="3" xfId="0" applyFont="1" applyBorder="1">
      <alignment vertical="center"/>
    </xf>
    <xf numFmtId="0" fontId="22" fillId="0" borderId="4" xfId="0" applyFont="1" applyBorder="1">
      <alignment vertical="center"/>
    </xf>
    <xf numFmtId="0" fontId="22" fillId="0" borderId="5" xfId="0" applyFont="1" applyBorder="1">
      <alignment vertical="center"/>
    </xf>
    <xf numFmtId="0" fontId="4" fillId="0" borderId="2" xfId="0" applyFont="1" applyBorder="1" applyAlignment="1">
      <alignment horizontal="center" vertical="center"/>
    </xf>
    <xf numFmtId="49" fontId="22" fillId="0" borderId="3" xfId="0" applyNumberFormat="1" applyFont="1" applyBorder="1">
      <alignment vertical="center"/>
    </xf>
    <xf numFmtId="49" fontId="22" fillId="0" borderId="4" xfId="0" applyNumberFormat="1" applyFont="1" applyBorder="1">
      <alignment vertical="center"/>
    </xf>
    <xf numFmtId="49" fontId="22" fillId="0" borderId="5" xfId="0" applyNumberFormat="1" applyFont="1" applyBorder="1">
      <alignment vertical="center"/>
    </xf>
    <xf numFmtId="0" fontId="21" fillId="0" borderId="3" xfId="0" applyFont="1" applyBorder="1" applyAlignment="1">
      <alignment horizontal="left" vertical="center"/>
    </xf>
    <xf numFmtId="0" fontId="21" fillId="0" borderId="4" xfId="0" applyFont="1" applyBorder="1" applyAlignment="1">
      <alignment horizontal="left" vertical="center"/>
    </xf>
    <xf numFmtId="0" fontId="21" fillId="0" borderId="5" xfId="0" applyFont="1" applyBorder="1" applyAlignment="1">
      <alignment horizontal="left" vertical="center"/>
    </xf>
    <xf numFmtId="0" fontId="47" fillId="0" borderId="0" xfId="0" applyFont="1" applyAlignment="1">
      <alignment horizontal="left" vertical="center"/>
    </xf>
    <xf numFmtId="0" fontId="4" fillId="0" borderId="2" xfId="0" applyFont="1" applyBorder="1" applyAlignment="1">
      <alignment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19" fillId="0" borderId="2" xfId="0" applyFont="1" applyBorder="1" applyAlignment="1">
      <alignment horizontal="center" vertical="center"/>
    </xf>
    <xf numFmtId="0" fontId="4" fillId="0" borderId="0" xfId="0" applyFont="1" applyAlignment="1">
      <alignment vertical="center" wrapText="1"/>
    </xf>
    <xf numFmtId="0" fontId="4" fillId="0" borderId="0" xfId="0" applyFont="1" applyAlignment="1">
      <alignment horizontal="right" vertical="center"/>
    </xf>
    <xf numFmtId="49" fontId="9" fillId="0" borderId="0" xfId="0" applyNumberFormat="1" applyFont="1" applyAlignment="1">
      <alignment horizontal="left" vertical="center" wrapText="1" readingOrder="1"/>
    </xf>
    <xf numFmtId="0" fontId="7" fillId="0" borderId="0" xfId="0" applyFont="1" applyAlignment="1">
      <alignment vertical="center" wrapText="1"/>
    </xf>
    <xf numFmtId="0" fontId="14" fillId="0" borderId="0" xfId="0" applyFont="1" applyAlignment="1">
      <alignment vertical="center" wrapText="1"/>
    </xf>
    <xf numFmtId="0" fontId="16" fillId="0" borderId="0" xfId="0" applyFont="1" applyAlignment="1">
      <alignment horizontal="center" vertical="center" readingOrder="1"/>
    </xf>
    <xf numFmtId="0" fontId="12" fillId="0" borderId="0" xfId="0" applyFont="1" applyAlignment="1">
      <alignment vertical="center" wrapText="1"/>
    </xf>
    <xf numFmtId="0" fontId="47" fillId="0" borderId="0" xfId="0" applyFont="1" applyAlignment="1">
      <alignment horizontal="center" vertical="center"/>
    </xf>
    <xf numFmtId="0" fontId="4" fillId="0" borderId="6" xfId="0" applyFont="1" applyBorder="1" applyAlignment="1">
      <alignment horizontal="center" vertical="center"/>
    </xf>
    <xf numFmtId="0" fontId="14" fillId="0" borderId="3" xfId="1" applyFont="1" applyBorder="1" applyAlignment="1">
      <alignment horizontal="center" vertical="center"/>
    </xf>
    <xf numFmtId="0" fontId="14" fillId="0" borderId="4" xfId="1" applyFont="1" applyBorder="1" applyAlignment="1">
      <alignment horizontal="center" vertical="center"/>
    </xf>
    <xf numFmtId="0" fontId="14" fillId="0" borderId="5" xfId="1" applyFont="1" applyBorder="1" applyAlignment="1">
      <alignment horizontal="center" vertical="center"/>
    </xf>
    <xf numFmtId="0" fontId="4" fillId="0" borderId="2" xfId="0" applyFont="1" applyBorder="1" applyAlignment="1">
      <alignment horizontal="left" vertical="center" wrapText="1" indent="7"/>
    </xf>
    <xf numFmtId="0" fontId="4" fillId="0" borderId="2" xfId="0" applyFont="1" applyBorder="1" applyAlignment="1">
      <alignment horizontal="center" vertical="center" wrapText="1"/>
    </xf>
    <xf numFmtId="0" fontId="14" fillId="0" borderId="2" xfId="1" applyFont="1" applyBorder="1" applyAlignment="1">
      <alignment horizontal="center" vertical="center"/>
    </xf>
    <xf numFmtId="0" fontId="14" fillId="0" borderId="0" xfId="1" applyFont="1" applyBorder="1" applyAlignment="1">
      <alignment horizontal="center" vertical="center"/>
    </xf>
    <xf numFmtId="0" fontId="19" fillId="0" borderId="3" xfId="0" applyFont="1" applyBorder="1" applyAlignment="1">
      <alignment vertical="center" wrapText="1"/>
    </xf>
    <xf numFmtId="0" fontId="19" fillId="0" borderId="4" xfId="0" applyFont="1" applyBorder="1" applyAlignment="1">
      <alignment vertical="center" wrapText="1"/>
    </xf>
    <xf numFmtId="0" fontId="19" fillId="0" borderId="5" xfId="0" applyFont="1" applyBorder="1" applyAlignment="1">
      <alignment vertical="center" wrapText="1"/>
    </xf>
    <xf numFmtId="0" fontId="19" fillId="0" borderId="2" xfId="0" applyFont="1" applyBorder="1" applyAlignment="1">
      <alignment vertical="center" wrapText="1"/>
    </xf>
    <xf numFmtId="0" fontId="19" fillId="7" borderId="12" xfId="0" applyFont="1" applyFill="1" applyBorder="1" applyAlignment="1">
      <alignment horizontal="center" vertical="center" wrapText="1"/>
    </xf>
    <xf numFmtId="0" fontId="19" fillId="7" borderId="14" xfId="0" applyFont="1" applyFill="1" applyBorder="1" applyAlignment="1">
      <alignment horizontal="center" vertical="center" wrapText="1"/>
    </xf>
    <xf numFmtId="0" fontId="19" fillId="7" borderId="13"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19" fillId="8" borderId="14" xfId="0" applyFont="1" applyFill="1" applyBorder="1" applyAlignment="1">
      <alignment horizontal="center" vertical="center" wrapText="1"/>
    </xf>
    <xf numFmtId="0" fontId="19" fillId="8" borderId="13" xfId="0" applyFont="1" applyFill="1" applyBorder="1" applyAlignment="1">
      <alignment horizontal="center" vertical="center" wrapText="1"/>
    </xf>
    <xf numFmtId="0" fontId="4" fillId="0" borderId="3" xfId="0" applyFont="1" applyBorder="1" applyAlignment="1">
      <alignment vertical="center" wrapText="1"/>
    </xf>
    <xf numFmtId="0" fontId="4" fillId="0" borderId="4" xfId="0" applyFont="1" applyBorder="1" applyAlignment="1">
      <alignment vertical="center" wrapText="1"/>
    </xf>
    <xf numFmtId="0" fontId="4" fillId="0" borderId="5" xfId="0" applyFont="1" applyBorder="1" applyAlignment="1">
      <alignment vertical="center" wrapText="1"/>
    </xf>
    <xf numFmtId="0" fontId="19" fillId="0" borderId="2" xfId="0" applyFont="1" applyBorder="1" applyAlignment="1">
      <alignment horizontal="center" vertical="center" wrapText="1"/>
    </xf>
    <xf numFmtId="0" fontId="4" fillId="0" borderId="2" xfId="0" applyFont="1" applyBorder="1" applyAlignment="1">
      <alignment horizontal="left" vertical="center" wrapText="1"/>
    </xf>
    <xf numFmtId="0" fontId="19" fillId="0" borderId="2" xfId="0" applyFont="1" applyBorder="1" applyAlignment="1">
      <alignment horizontal="left" vertical="center" wrapText="1"/>
    </xf>
    <xf numFmtId="0" fontId="4" fillId="0" borderId="3" xfId="0" applyFont="1" applyBorder="1" applyAlignment="1">
      <alignment horizontal="right" vertical="center"/>
    </xf>
    <xf numFmtId="0" fontId="4" fillId="0" borderId="5" xfId="0" applyFont="1" applyBorder="1" applyAlignment="1">
      <alignment horizontal="right" vertical="center"/>
    </xf>
    <xf numFmtId="0" fontId="3" fillId="0" borderId="3" xfId="0" applyFont="1" applyBorder="1" applyAlignment="1">
      <alignment horizontal="right" vertical="center"/>
    </xf>
    <xf numFmtId="0" fontId="3" fillId="0" borderId="5" xfId="0" applyFont="1" applyBorder="1" applyAlignment="1">
      <alignment horizontal="right" vertical="center"/>
    </xf>
    <xf numFmtId="0" fontId="3" fillId="0" borderId="2" xfId="0" applyFont="1" applyBorder="1" applyAlignment="1">
      <alignment horizontal="center" vertical="center"/>
    </xf>
    <xf numFmtId="0" fontId="4" fillId="0" borderId="3" xfId="0" applyFont="1" applyBorder="1" applyAlignment="1">
      <alignment horizontal="left" vertical="center"/>
    </xf>
    <xf numFmtId="0" fontId="4" fillId="0" borderId="5" xfId="0" applyFont="1" applyBorder="1" applyAlignment="1">
      <alignment horizontal="left" vertical="center"/>
    </xf>
    <xf numFmtId="0" fontId="4" fillId="0" borderId="2" xfId="0" applyFont="1" applyBorder="1" applyAlignment="1">
      <alignment vertical="center"/>
    </xf>
    <xf numFmtId="177" fontId="22" fillId="0" borderId="3" xfId="0" applyNumberFormat="1" applyFont="1" applyBorder="1" applyAlignment="1">
      <alignment horizontal="center" vertical="center"/>
    </xf>
    <xf numFmtId="177" fontId="22" fillId="0" borderId="5" xfId="0" applyNumberFormat="1" applyFont="1" applyBorder="1" applyAlignment="1">
      <alignment horizontal="center" vertical="center"/>
    </xf>
    <xf numFmtId="0" fontId="3" fillId="0" borderId="3" xfId="0" applyFont="1" applyBorder="1" applyAlignment="1">
      <alignment horizontal="center" vertical="center"/>
    </xf>
    <xf numFmtId="0" fontId="3" fillId="0" borderId="5" xfId="0" applyFont="1" applyBorder="1" applyAlignment="1">
      <alignment horizontal="center" vertical="center"/>
    </xf>
    <xf numFmtId="0" fontId="2" fillId="0" borderId="0" xfId="0" applyFont="1" applyAlignment="1">
      <alignment horizontal="center" vertical="center"/>
    </xf>
    <xf numFmtId="0" fontId="12" fillId="0" borderId="0" xfId="0" applyFont="1">
      <alignment vertical="center"/>
    </xf>
    <xf numFmtId="0" fontId="12" fillId="0" borderId="0" xfId="0" applyFont="1" applyAlignment="1">
      <alignment horizontal="left" vertical="center"/>
    </xf>
    <xf numFmtId="0" fontId="12" fillId="0" borderId="0" xfId="0" applyFont="1" applyAlignment="1">
      <alignment horizontal="center" vertical="center"/>
    </xf>
    <xf numFmtId="0" fontId="4" fillId="0" borderId="3" xfId="0" applyFont="1" applyBorder="1">
      <alignment vertical="center"/>
    </xf>
    <xf numFmtId="0" fontId="4" fillId="0" borderId="4" xfId="0" applyFont="1" applyBorder="1">
      <alignment vertical="center"/>
    </xf>
    <xf numFmtId="0" fontId="4" fillId="0" borderId="5" xfId="0" applyFont="1" applyBorder="1">
      <alignment vertical="center"/>
    </xf>
    <xf numFmtId="0" fontId="47" fillId="0" borderId="0"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5" xfId="0" applyFont="1" applyBorder="1" applyAlignment="1">
      <alignment horizontal="center" vertical="center"/>
    </xf>
    <xf numFmtId="177" fontId="25" fillId="0" borderId="3" xfId="0" applyNumberFormat="1" applyFont="1" applyBorder="1" applyAlignment="1">
      <alignment horizontal="center" vertical="center"/>
    </xf>
    <xf numFmtId="177" fontId="25" fillId="0" borderId="5" xfId="0" applyNumberFormat="1" applyFont="1" applyBorder="1" applyAlignment="1">
      <alignment horizontal="center" vertical="center"/>
    </xf>
    <xf numFmtId="0" fontId="19" fillId="0" borderId="4" xfId="0" applyFont="1" applyBorder="1" applyAlignment="1">
      <alignment horizontal="center" vertical="center"/>
    </xf>
    <xf numFmtId="0" fontId="19" fillId="0" borderId="5" xfId="0" applyFont="1" applyBorder="1" applyAlignment="1">
      <alignment horizontal="center" vertical="center"/>
    </xf>
    <xf numFmtId="0" fontId="4" fillId="0" borderId="4" xfId="0" applyFont="1" applyBorder="1" applyAlignment="1">
      <alignment horizontal="right" vertical="center"/>
    </xf>
    <xf numFmtId="0" fontId="4" fillId="0" borderId="11" xfId="0" applyFont="1" applyBorder="1" applyAlignment="1">
      <alignment horizontal="center" vertical="center"/>
    </xf>
    <xf numFmtId="0" fontId="4" fillId="0" borderId="7" xfId="0" applyFont="1" applyBorder="1" applyAlignment="1">
      <alignment horizontal="center" vertical="center"/>
    </xf>
    <xf numFmtId="0" fontId="4" fillId="3" borderId="2" xfId="0" applyFont="1" applyFill="1" applyBorder="1" applyAlignment="1">
      <alignment horizontal="center" vertical="center"/>
    </xf>
    <xf numFmtId="0" fontId="0" fillId="0" borderId="2" xfId="0" applyBorder="1">
      <alignment vertical="center"/>
    </xf>
    <xf numFmtId="0" fontId="4" fillId="4" borderId="2" xfId="0" applyFont="1" applyFill="1" applyBorder="1" applyAlignment="1">
      <alignment horizontal="center" vertical="center"/>
    </xf>
    <xf numFmtId="0" fontId="19" fillId="4" borderId="2" xfId="0" applyFont="1" applyFill="1" applyBorder="1" applyAlignment="1">
      <alignment horizontal="center" vertical="center"/>
    </xf>
    <xf numFmtId="0" fontId="0" fillId="0" borderId="7" xfId="0" applyBorder="1">
      <alignment vertical="center"/>
    </xf>
    <xf numFmtId="0" fontId="4" fillId="0" borderId="9" xfId="0" applyFont="1" applyBorder="1" applyAlignment="1">
      <alignment horizontal="center" vertical="center"/>
    </xf>
    <xf numFmtId="0" fontId="4" fillId="0" borderId="15" xfId="0" applyFont="1" applyBorder="1" applyAlignment="1">
      <alignment horizontal="center" vertical="center"/>
    </xf>
    <xf numFmtId="0" fontId="4" fillId="5" borderId="2" xfId="0" applyFont="1" applyFill="1" applyBorder="1" applyAlignment="1">
      <alignment horizontal="center" vertical="center"/>
    </xf>
    <xf numFmtId="0" fontId="12" fillId="0" borderId="3" xfId="0" applyFont="1" applyBorder="1">
      <alignment vertical="center"/>
    </xf>
    <xf numFmtId="0" fontId="12" fillId="0" borderId="4" xfId="0" applyFont="1" applyBorder="1">
      <alignment vertical="center"/>
    </xf>
    <xf numFmtId="0" fontId="12" fillId="0" borderId="5" xfId="0" applyFont="1" applyBorder="1">
      <alignment vertical="center"/>
    </xf>
    <xf numFmtId="49" fontId="13" fillId="0" borderId="3" xfId="0" applyNumberFormat="1" applyFont="1" applyBorder="1">
      <alignment vertical="center"/>
    </xf>
    <xf numFmtId="49" fontId="13" fillId="0" borderId="4" xfId="0" applyNumberFormat="1" applyFont="1" applyBorder="1">
      <alignmen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3" fillId="0" borderId="3" xfId="0" applyFont="1" applyBorder="1">
      <alignment vertical="center"/>
    </xf>
    <xf numFmtId="0" fontId="13" fillId="0" borderId="4" xfId="0" applyFont="1" applyBorder="1">
      <alignment vertical="center"/>
    </xf>
    <xf numFmtId="0" fontId="13" fillId="0" borderId="5" xfId="0" applyFont="1" applyBorder="1">
      <alignment vertical="center"/>
    </xf>
    <xf numFmtId="0" fontId="12" fillId="0" borderId="3" xfId="0" applyFont="1" applyBorder="1" applyAlignment="1">
      <alignment horizontal="center" vertical="center"/>
    </xf>
    <xf numFmtId="0" fontId="12" fillId="0" borderId="5" xfId="0" applyFont="1" applyBorder="1" applyAlignment="1">
      <alignment horizontal="center" vertical="center"/>
    </xf>
    <xf numFmtId="0" fontId="3" fillId="0" borderId="4" xfId="0" applyFont="1" applyBorder="1" applyAlignment="1">
      <alignment horizontal="center" vertical="center"/>
    </xf>
  </cellXfs>
  <cellStyles count="2">
    <cellStyle name="一般" xfId="0" builtinId="0"/>
    <cellStyle name="超連結" xfId="1" builtinId="8"/>
  </cellStyles>
  <dxfs count="0"/>
  <tableStyles count="0" defaultTableStyle="TableStyleMedium2" defaultPivotStyle="PivotStyleLight16"/>
  <colors>
    <mruColors>
      <color rgb="FF0000FF"/>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B!A1"/></Relationships>
</file>

<file path=xl/drawings/_rels/drawing2.xml.rels><?xml version="1.0" encoding="UTF-8" standalone="yes"?>
<Relationships xmlns="http://schemas.openxmlformats.org/package/2006/relationships"><Relationship Id="rId1" Type="http://schemas.openxmlformats.org/officeDocument/2006/relationships/hyperlink" Target="#B!A1"/></Relationships>
</file>

<file path=xl/drawings/_rels/drawing3.xml.rels><?xml version="1.0" encoding="UTF-8" standalone="yes"?>
<Relationships xmlns="http://schemas.openxmlformats.org/package/2006/relationships"><Relationship Id="rId2" Type="http://schemas.openxmlformats.org/officeDocument/2006/relationships/hyperlink" Target="#'B21'!A1"/><Relationship Id="rId1" Type="http://schemas.openxmlformats.org/officeDocument/2006/relationships/hyperlink" Target="#B!A1"/></Relationships>
</file>

<file path=xl/drawings/_rels/drawing4.xml.rels><?xml version="1.0" encoding="UTF-8" standalone="yes"?>
<Relationships xmlns="http://schemas.openxmlformats.org/package/2006/relationships"><Relationship Id="rId2" Type="http://schemas.openxmlformats.org/officeDocument/2006/relationships/hyperlink" Target="#'B21'!A1"/><Relationship Id="rId1" Type="http://schemas.openxmlformats.org/officeDocument/2006/relationships/hyperlink" Target="#B!A1"/></Relationships>
</file>

<file path=xl/drawings/_rels/drawing5.xml.rels><?xml version="1.0" encoding="UTF-8" standalone="yes"?>
<Relationships xmlns="http://schemas.openxmlformats.org/package/2006/relationships"><Relationship Id="rId2" Type="http://schemas.openxmlformats.org/officeDocument/2006/relationships/hyperlink" Target="#'B21'!A1"/><Relationship Id="rId1" Type="http://schemas.openxmlformats.org/officeDocument/2006/relationships/hyperlink" Target="#B!A1"/></Relationships>
</file>

<file path=xl/drawings/_rels/drawing6.xml.rels><?xml version="1.0" encoding="UTF-8" standalone="yes"?>
<Relationships xmlns="http://schemas.openxmlformats.org/package/2006/relationships"><Relationship Id="rId2" Type="http://schemas.openxmlformats.org/officeDocument/2006/relationships/hyperlink" Target="#B!A1"/><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hyperlink" Target="#B!A1"/><Relationship Id="rId7" Type="http://schemas.openxmlformats.org/officeDocument/2006/relationships/image" Target="../media/image8.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hyperlink" Target="#'B22'!A1"/></Relationships>
</file>

<file path=xl/drawings/_rels/drawing8.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hyperlink" Target="#'B22'!A1"/><Relationship Id="rId2" Type="http://schemas.openxmlformats.org/officeDocument/2006/relationships/image" Target="../media/image9.png"/><Relationship Id="rId1" Type="http://schemas.openxmlformats.org/officeDocument/2006/relationships/image" Target="../media/image5.jpeg"/><Relationship Id="rId6" Type="http://schemas.openxmlformats.org/officeDocument/2006/relationships/hyperlink" Target="#B!A1"/><Relationship Id="rId5" Type="http://schemas.openxmlformats.org/officeDocument/2006/relationships/image" Target="../media/image12.png"/><Relationship Id="rId4" Type="http://schemas.openxmlformats.org/officeDocument/2006/relationships/image" Target="../media/image1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hyperlink" Target="#B!A1"/><Relationship Id="rId6" Type="http://schemas.openxmlformats.org/officeDocument/2006/relationships/image" Target="../media/image17.jpeg"/><Relationship Id="rId11" Type="http://schemas.openxmlformats.org/officeDocument/2006/relationships/image" Target="../media/image22.jpeg"/><Relationship Id="rId5" Type="http://schemas.openxmlformats.org/officeDocument/2006/relationships/image" Target="../media/image16.jpeg"/><Relationship Id="rId10" Type="http://schemas.openxmlformats.org/officeDocument/2006/relationships/image" Target="../media/image21.jpeg"/><Relationship Id="rId4" Type="http://schemas.openxmlformats.org/officeDocument/2006/relationships/image" Target="../media/image15.png"/><Relationship Id="rId9"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hyperlink" Target="#B!A1"/></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hyperlink" Target="#'B24'!A1"/><Relationship Id="rId1" Type="http://schemas.openxmlformats.org/officeDocument/2006/relationships/hyperlink" Target="#B!A1"/><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hyperlink" Target="#'B24'!A1"/><Relationship Id="rId1" Type="http://schemas.openxmlformats.org/officeDocument/2006/relationships/hyperlink" Target="#B!A1"/><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hyperlink" Target="#'B24'!A1"/><Relationship Id="rId1" Type="http://schemas.openxmlformats.org/officeDocument/2006/relationships/hyperlink" Target="#B!A1"/><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hyperlink" Target="#'B24'!A1"/><Relationship Id="rId1" Type="http://schemas.openxmlformats.org/officeDocument/2006/relationships/hyperlink" Target="#B!A1"/><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1" Type="http://schemas.openxmlformats.org/officeDocument/2006/relationships/hyperlink" Target="#B!A1"/></Relationships>
</file>

<file path=xl/drawings/_rels/drawing1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B31'!A1"/><Relationship Id="rId1" Type="http://schemas.openxmlformats.org/officeDocument/2006/relationships/hyperlink" Target="#B!A1"/></Relationships>
</file>

<file path=xl/drawings/_rels/drawing17.xml.rels><?xml version="1.0" encoding="UTF-8" standalone="yes"?>
<Relationships xmlns="http://schemas.openxmlformats.org/package/2006/relationships"><Relationship Id="rId2" Type="http://schemas.openxmlformats.org/officeDocument/2006/relationships/hyperlink" Target="#'B31'!A1"/><Relationship Id="rId1" Type="http://schemas.openxmlformats.org/officeDocument/2006/relationships/hyperlink" Target="#B!A1"/></Relationships>
</file>

<file path=xl/drawings/_rels/drawing18.xml.rels><?xml version="1.0" encoding="UTF-8" standalone="yes"?>
<Relationships xmlns="http://schemas.openxmlformats.org/package/2006/relationships"><Relationship Id="rId2" Type="http://schemas.openxmlformats.org/officeDocument/2006/relationships/hyperlink" Target="#'B31'!A1"/><Relationship Id="rId1" Type="http://schemas.openxmlformats.org/officeDocument/2006/relationships/hyperlink" Target="#B!A1"/></Relationships>
</file>

<file path=xl/drawings/_rels/drawing19.xml.rels><?xml version="1.0" encoding="UTF-8" standalone="yes"?>
<Relationships xmlns="http://schemas.openxmlformats.org/package/2006/relationships"><Relationship Id="rId1" Type="http://schemas.openxmlformats.org/officeDocument/2006/relationships/hyperlink" Target="#B!A1"/></Relationships>
</file>

<file path=xl/drawings/_rels/drawing20.xml.rels><?xml version="1.0" encoding="UTF-8" standalone="yes"?>
<Relationships xmlns="http://schemas.openxmlformats.org/package/2006/relationships"><Relationship Id="rId2" Type="http://schemas.openxmlformats.org/officeDocument/2006/relationships/hyperlink" Target="#'B32'!A1"/><Relationship Id="rId1" Type="http://schemas.openxmlformats.org/officeDocument/2006/relationships/hyperlink" Target="#B!A1"/></Relationships>
</file>

<file path=xl/drawings/_rels/drawing21.xml.rels><?xml version="1.0" encoding="UTF-8" standalone="yes"?>
<Relationships xmlns="http://schemas.openxmlformats.org/package/2006/relationships"><Relationship Id="rId2" Type="http://schemas.openxmlformats.org/officeDocument/2006/relationships/hyperlink" Target="#'B32'!A1"/><Relationship Id="rId1" Type="http://schemas.openxmlformats.org/officeDocument/2006/relationships/hyperlink" Target="#B!A1"/></Relationships>
</file>

<file path=xl/drawings/_rels/drawing22.xml.rels><?xml version="1.0" encoding="UTF-8" standalone="yes"?>
<Relationships xmlns="http://schemas.openxmlformats.org/package/2006/relationships"><Relationship Id="rId1" Type="http://schemas.openxmlformats.org/officeDocument/2006/relationships/hyperlink" Target="#B!A1"/></Relationships>
</file>

<file path=xl/drawings/_rels/drawing23.xml.rels><?xml version="1.0" encoding="UTF-8" standalone="yes"?>
<Relationships xmlns="http://schemas.openxmlformats.org/package/2006/relationships"><Relationship Id="rId1" Type="http://schemas.openxmlformats.org/officeDocument/2006/relationships/hyperlink" Target="#B!A1"/></Relationships>
</file>

<file path=xl/drawings/_rels/drawing24.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hyperlink" Target="#B!A1"/><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25.xml.rels><?xml version="1.0" encoding="UTF-8" standalone="yes"?>
<Relationships xmlns="http://schemas.openxmlformats.org/package/2006/relationships"><Relationship Id="rId1" Type="http://schemas.openxmlformats.org/officeDocument/2006/relationships/hyperlink" Target="#B!A1"/></Relationships>
</file>

<file path=xl/drawings/_rels/drawing2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hyperlink" Target="#'B44'!A1"/><Relationship Id="rId5" Type="http://schemas.openxmlformats.org/officeDocument/2006/relationships/hyperlink" Target="#B!A1"/><Relationship Id="rId4" Type="http://schemas.openxmlformats.org/officeDocument/2006/relationships/image" Target="../media/image5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1.png"/><Relationship Id="rId5" Type="http://schemas.openxmlformats.org/officeDocument/2006/relationships/hyperlink" Target="#'B44'!A1"/><Relationship Id="rId4" Type="http://schemas.openxmlformats.org/officeDocument/2006/relationships/hyperlink" Target="#B!A1"/></Relationships>
</file>

<file path=xl/drawings/_rels/drawing2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1.png"/><Relationship Id="rId6" Type="http://schemas.openxmlformats.org/officeDocument/2006/relationships/hyperlink" Target="#'B44'!A1"/><Relationship Id="rId5" Type="http://schemas.openxmlformats.org/officeDocument/2006/relationships/hyperlink" Target="#B!A1"/><Relationship Id="rId4" Type="http://schemas.openxmlformats.org/officeDocument/2006/relationships/image" Target="../media/image59.png"/></Relationships>
</file>

<file path=xl/drawings/_rels/drawing29.xml.rels><?xml version="1.0" encoding="UTF-8" standalone="yes"?>
<Relationships xmlns="http://schemas.openxmlformats.org/package/2006/relationships"><Relationship Id="rId1" Type="http://schemas.openxmlformats.org/officeDocument/2006/relationships/hyperlink" Target="#B!A1"/></Relationships>
</file>

<file path=xl/drawings/_rels/drawing30.xml.rels><?xml version="1.0" encoding="UTF-8" standalone="yes"?>
<Relationships xmlns="http://schemas.openxmlformats.org/package/2006/relationships"><Relationship Id="rId1" Type="http://schemas.openxmlformats.org/officeDocument/2006/relationships/hyperlink" Target="#B!A1"/></Relationships>
</file>

<file path=xl/drawings/_rels/drawing31.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hyperlink" Target="#'B46'!A1"/><Relationship Id="rId1" Type="http://schemas.openxmlformats.org/officeDocument/2006/relationships/hyperlink" Target="#B!A1"/><Relationship Id="rId5" Type="http://schemas.openxmlformats.org/officeDocument/2006/relationships/image" Target="../media/image62.png"/><Relationship Id="rId4" Type="http://schemas.openxmlformats.org/officeDocument/2006/relationships/image" Target="../media/image6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hyperlink" Target="#'B46'!A1"/><Relationship Id="rId1" Type="http://schemas.openxmlformats.org/officeDocument/2006/relationships/hyperlink" Target="#B!A1"/><Relationship Id="rId5" Type="http://schemas.openxmlformats.org/officeDocument/2006/relationships/image" Target="../media/image64.png"/><Relationship Id="rId4" Type="http://schemas.openxmlformats.org/officeDocument/2006/relationships/image" Target="../media/image6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hyperlink" Target="#'B46'!A1"/><Relationship Id="rId1" Type="http://schemas.openxmlformats.org/officeDocument/2006/relationships/hyperlink" Target="#B!A1"/><Relationship Id="rId5" Type="http://schemas.openxmlformats.org/officeDocument/2006/relationships/image" Target="../media/image66.png"/><Relationship Id="rId4" Type="http://schemas.openxmlformats.org/officeDocument/2006/relationships/image" Target="../media/image65.png"/></Relationships>
</file>

<file path=xl/drawings/_rels/drawing34.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hyperlink" Target="#'B46'!A1"/><Relationship Id="rId5" Type="http://schemas.openxmlformats.org/officeDocument/2006/relationships/hyperlink" Target="#B!A1"/><Relationship Id="rId4" Type="http://schemas.openxmlformats.org/officeDocument/2006/relationships/image" Target="../media/image70.png"/></Relationships>
</file>

<file path=xl/drawings/_rels/drawing35.xml.rels><?xml version="1.0" encoding="UTF-8" standalone="yes"?>
<Relationships xmlns="http://schemas.openxmlformats.org/package/2006/relationships"><Relationship Id="rId1" Type="http://schemas.openxmlformats.org/officeDocument/2006/relationships/hyperlink" Target="#B!A1"/></Relationships>
</file>

<file path=xl/drawings/_rels/drawing36.xml.rels><?xml version="1.0" encoding="UTF-8" standalone="yes"?>
<Relationships xmlns="http://schemas.openxmlformats.org/package/2006/relationships"><Relationship Id="rId1" Type="http://schemas.openxmlformats.org/officeDocument/2006/relationships/hyperlink" Target="#B!A1"/></Relationships>
</file>

<file path=xl/drawings/_rels/drawing37.xml.rels><?xml version="1.0" encoding="UTF-8" standalone="yes"?>
<Relationships xmlns="http://schemas.openxmlformats.org/package/2006/relationships"><Relationship Id="rId8" Type="http://schemas.openxmlformats.org/officeDocument/2006/relationships/hyperlink" Target="#'B463'!A1"/><Relationship Id="rId3" Type="http://schemas.openxmlformats.org/officeDocument/2006/relationships/image" Target="../media/image73.png"/><Relationship Id="rId7" Type="http://schemas.openxmlformats.org/officeDocument/2006/relationships/hyperlink" Target="#'B462'!A1"/><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hyperlink" Target="#'B464'!A1"/><Relationship Id="rId5" Type="http://schemas.openxmlformats.org/officeDocument/2006/relationships/image" Target="../media/image74.png"/><Relationship Id="rId4" Type="http://schemas.openxmlformats.org/officeDocument/2006/relationships/hyperlink" Target="#B!A1"/><Relationship Id="rId9" Type="http://schemas.openxmlformats.org/officeDocument/2006/relationships/hyperlink" Target="#'B461'!A1"/></Relationships>
</file>

<file path=xl/drawings/_rels/drawing38.xml.rels><?xml version="1.0" encoding="UTF-8" standalone="yes"?>
<Relationships xmlns="http://schemas.openxmlformats.org/package/2006/relationships"><Relationship Id="rId1" Type="http://schemas.openxmlformats.org/officeDocument/2006/relationships/hyperlink" Target="#B!A1"/></Relationships>
</file>

<file path=xl/drawings/_rels/drawing39.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hyperlink" Target="#B!A1"/></Relationships>
</file>

<file path=xl/drawings/_rels/drawing40.xml.rels><?xml version="1.0" encoding="UTF-8" standalone="yes"?>
<Relationships xmlns="http://schemas.openxmlformats.org/package/2006/relationships"><Relationship Id="rId2" Type="http://schemas.openxmlformats.org/officeDocument/2006/relationships/hyperlink" Target="#'B54'!A1"/><Relationship Id="rId1" Type="http://schemas.openxmlformats.org/officeDocument/2006/relationships/hyperlink" Target="#B!A1"/></Relationships>
</file>

<file path=xl/drawings/_rels/drawing41.xml.rels><?xml version="1.0" encoding="UTF-8" standalone="yes"?>
<Relationships xmlns="http://schemas.openxmlformats.org/package/2006/relationships"><Relationship Id="rId2" Type="http://schemas.openxmlformats.org/officeDocument/2006/relationships/hyperlink" Target="#'B54'!A1"/><Relationship Id="rId1" Type="http://schemas.openxmlformats.org/officeDocument/2006/relationships/hyperlink" Target="#B!A1"/></Relationships>
</file>

<file path=xl/drawings/_rels/drawing42.xml.rels><?xml version="1.0" encoding="UTF-8" standalone="yes"?>
<Relationships xmlns="http://schemas.openxmlformats.org/package/2006/relationships"><Relationship Id="rId2" Type="http://schemas.openxmlformats.org/officeDocument/2006/relationships/hyperlink" Target="#'B54'!A1"/><Relationship Id="rId1" Type="http://schemas.openxmlformats.org/officeDocument/2006/relationships/hyperlink" Target="#B!A1"/></Relationships>
</file>

<file path=xl/drawings/_rels/drawing43.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hyperlink" Target="#'B51'!A1"/><Relationship Id="rId1" Type="http://schemas.openxmlformats.org/officeDocument/2006/relationships/hyperlink" Target="#B!A1"/></Relationships>
</file>

<file path=xl/drawings/_rels/drawing44.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hyperlink" Target="#'B51'!A1"/><Relationship Id="rId1" Type="http://schemas.openxmlformats.org/officeDocument/2006/relationships/hyperlink" Target="#B!A1"/></Relationships>
</file>

<file path=xl/drawings/_rels/drawing45.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hyperlink" Target="#'B51'!A1"/><Relationship Id="rId1" Type="http://schemas.openxmlformats.org/officeDocument/2006/relationships/hyperlink" Target="#B!A1"/></Relationships>
</file>

<file path=xl/drawings/_rels/drawing46.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hyperlink" Target="#'B51'!A1"/><Relationship Id="rId1" Type="http://schemas.openxmlformats.org/officeDocument/2006/relationships/hyperlink" Target="#B!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3.emf"/></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28575</xdr:rowOff>
    </xdr:from>
    <xdr:to>
      <xdr:col>3</xdr:col>
      <xdr:colOff>438150</xdr:colOff>
      <xdr:row>1</xdr:row>
      <xdr:rowOff>0</xdr:rowOff>
    </xdr:to>
    <xdr:sp macro="" textlink="">
      <xdr:nvSpPr>
        <xdr:cNvPr id="25" name="文字方塊 24">
          <a:hlinkClick xmlns:r="http://schemas.openxmlformats.org/officeDocument/2006/relationships" r:id="rId1"/>
        </xdr:cNvPr>
        <xdr:cNvSpPr txBox="1"/>
      </xdr:nvSpPr>
      <xdr:spPr>
        <a:xfrm>
          <a:off x="2466975" y="28575"/>
          <a:ext cx="13144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561974</xdr:colOff>
      <xdr:row>0</xdr:row>
      <xdr:rowOff>19050</xdr:rowOff>
    </xdr:from>
    <xdr:to>
      <xdr:col>5</xdr:col>
      <xdr:colOff>241299</xdr:colOff>
      <xdr:row>1</xdr:row>
      <xdr:rowOff>0</xdr:rowOff>
    </xdr:to>
    <xdr:sp macro="" textlink="">
      <xdr:nvSpPr>
        <xdr:cNvPr id="26" name="文字方塊 25">
          <a:hlinkClick xmlns:r="http://schemas.openxmlformats.org/officeDocument/2006/relationships" r:id="rId1"/>
        </xdr:cNvPr>
        <xdr:cNvSpPr txBox="1"/>
      </xdr:nvSpPr>
      <xdr:spPr>
        <a:xfrm>
          <a:off x="3692524" y="19050"/>
          <a:ext cx="1285875" cy="2540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7</xdr:col>
      <xdr:colOff>9525</xdr:colOff>
      <xdr:row>3</xdr:row>
      <xdr:rowOff>19050</xdr:rowOff>
    </xdr:from>
    <xdr:to>
      <xdr:col>12</xdr:col>
      <xdr:colOff>85725</xdr:colOff>
      <xdr:row>10</xdr:row>
      <xdr:rowOff>4780</xdr:rowOff>
    </xdr:to>
    <xdr:pic>
      <xdr:nvPicPr>
        <xdr:cNvPr id="8" name="圖片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8500" y="790575"/>
          <a:ext cx="3505200" cy="1814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11</xdr:row>
      <xdr:rowOff>0</xdr:rowOff>
    </xdr:from>
    <xdr:to>
      <xdr:col>9</xdr:col>
      <xdr:colOff>447675</xdr:colOff>
      <xdr:row>20</xdr:row>
      <xdr:rowOff>182623</xdr:rowOff>
    </xdr:to>
    <xdr:pic>
      <xdr:nvPicPr>
        <xdr:cNvPr id="9" name="圖片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58025" y="2847975"/>
          <a:ext cx="1800225" cy="2449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0</xdr:row>
      <xdr:rowOff>28575</xdr:rowOff>
    </xdr:from>
    <xdr:to>
      <xdr:col>4</xdr:col>
      <xdr:colOff>609600</xdr:colOff>
      <xdr:row>1</xdr:row>
      <xdr:rowOff>0</xdr:rowOff>
    </xdr:to>
    <xdr:sp macro="" textlink="">
      <xdr:nvSpPr>
        <xdr:cNvPr id="6" name="文字方塊 5">
          <a:hlinkClick xmlns:r="http://schemas.openxmlformats.org/officeDocument/2006/relationships" r:id="rId1"/>
        </xdr:cNvPr>
        <xdr:cNvSpPr txBox="1"/>
      </xdr:nvSpPr>
      <xdr:spPr>
        <a:xfrm>
          <a:off x="2705100" y="28575"/>
          <a:ext cx="129540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5</xdr:col>
      <xdr:colOff>171450</xdr:colOff>
      <xdr:row>0</xdr:row>
      <xdr:rowOff>28575</xdr:rowOff>
    </xdr:from>
    <xdr:to>
      <xdr:col>6</xdr:col>
      <xdr:colOff>447675</xdr:colOff>
      <xdr:row>1</xdr:row>
      <xdr:rowOff>0</xdr:rowOff>
    </xdr:to>
    <xdr:sp macro="" textlink="">
      <xdr:nvSpPr>
        <xdr:cNvPr id="7" name="文字方塊 6">
          <a:hlinkClick xmlns:r="http://schemas.openxmlformats.org/officeDocument/2006/relationships" r:id="rId1"/>
        </xdr:cNvPr>
        <xdr:cNvSpPr txBox="1"/>
      </xdr:nvSpPr>
      <xdr:spPr>
        <a:xfrm>
          <a:off x="3600450"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xdr:colOff>
      <xdr:row>0</xdr:row>
      <xdr:rowOff>38100</xdr:rowOff>
    </xdr:from>
    <xdr:to>
      <xdr:col>3</xdr:col>
      <xdr:colOff>257175</xdr:colOff>
      <xdr:row>1</xdr:row>
      <xdr:rowOff>9525</xdr:rowOff>
    </xdr:to>
    <xdr:sp macro="" textlink="">
      <xdr:nvSpPr>
        <xdr:cNvPr id="2" name="文字方塊 1">
          <a:hlinkClick xmlns:r="http://schemas.openxmlformats.org/officeDocument/2006/relationships" r:id="rId1"/>
        </xdr:cNvPr>
        <xdr:cNvSpPr txBox="1"/>
      </xdr:nvSpPr>
      <xdr:spPr>
        <a:xfrm>
          <a:off x="2247900" y="38100"/>
          <a:ext cx="13525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561975</xdr:colOff>
      <xdr:row>0</xdr:row>
      <xdr:rowOff>38100</xdr:rowOff>
    </xdr:from>
    <xdr:to>
      <xdr:col>4</xdr:col>
      <xdr:colOff>428625</xdr:colOff>
      <xdr:row>1</xdr:row>
      <xdr:rowOff>9525</xdr:rowOff>
    </xdr:to>
    <xdr:sp macro="" textlink="">
      <xdr:nvSpPr>
        <xdr:cNvPr id="3" name="文字方塊 2">
          <a:hlinkClick xmlns:r="http://schemas.openxmlformats.org/officeDocument/2006/relationships" r:id="rId2"/>
        </xdr:cNvPr>
        <xdr:cNvSpPr txBox="1"/>
      </xdr:nvSpPr>
      <xdr:spPr>
        <a:xfrm>
          <a:off x="3695700" y="38100"/>
          <a:ext cx="98107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xdr:colOff>
      <xdr:row>0</xdr:row>
      <xdr:rowOff>19050</xdr:rowOff>
    </xdr:from>
    <xdr:to>
      <xdr:col>4</xdr:col>
      <xdr:colOff>352426</xdr:colOff>
      <xdr:row>0</xdr:row>
      <xdr:rowOff>257175</xdr:rowOff>
    </xdr:to>
    <xdr:sp macro="" textlink="">
      <xdr:nvSpPr>
        <xdr:cNvPr id="2" name="文字方塊 1">
          <a:hlinkClick xmlns:r="http://schemas.openxmlformats.org/officeDocument/2006/relationships" r:id="rId1"/>
        </xdr:cNvPr>
        <xdr:cNvSpPr txBox="1"/>
      </xdr:nvSpPr>
      <xdr:spPr>
        <a:xfrm>
          <a:off x="1914526" y="19050"/>
          <a:ext cx="125730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4</xdr:col>
      <xdr:colOff>390525</xdr:colOff>
      <xdr:row>0</xdr:row>
      <xdr:rowOff>19050</xdr:rowOff>
    </xdr:from>
    <xdr:to>
      <xdr:col>5</xdr:col>
      <xdr:colOff>447675</xdr:colOff>
      <xdr:row>0</xdr:row>
      <xdr:rowOff>257175</xdr:rowOff>
    </xdr:to>
    <xdr:sp macro="" textlink="">
      <xdr:nvSpPr>
        <xdr:cNvPr id="3" name="文字方塊 2">
          <a:hlinkClick xmlns:r="http://schemas.openxmlformats.org/officeDocument/2006/relationships" r:id="rId2"/>
        </xdr:cNvPr>
        <xdr:cNvSpPr txBox="1"/>
      </xdr:nvSpPr>
      <xdr:spPr>
        <a:xfrm>
          <a:off x="3209925"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1495427</xdr:colOff>
      <xdr:row>0</xdr:row>
      <xdr:rowOff>19050</xdr:rowOff>
    </xdr:from>
    <xdr:to>
      <xdr:col>3</xdr:col>
      <xdr:colOff>142876</xdr:colOff>
      <xdr:row>0</xdr:row>
      <xdr:rowOff>257175</xdr:rowOff>
    </xdr:to>
    <xdr:sp macro="" textlink="">
      <xdr:nvSpPr>
        <xdr:cNvPr id="2" name="文字方塊 1">
          <a:hlinkClick xmlns:r="http://schemas.openxmlformats.org/officeDocument/2006/relationships" r:id="rId1"/>
        </xdr:cNvPr>
        <xdr:cNvSpPr txBox="1"/>
      </xdr:nvSpPr>
      <xdr:spPr>
        <a:xfrm>
          <a:off x="2181227" y="19050"/>
          <a:ext cx="1304924"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400050</xdr:colOff>
      <xdr:row>0</xdr:row>
      <xdr:rowOff>19050</xdr:rowOff>
    </xdr:from>
    <xdr:to>
      <xdr:col>4</xdr:col>
      <xdr:colOff>457200</xdr:colOff>
      <xdr:row>0</xdr:row>
      <xdr:rowOff>257175</xdr:rowOff>
    </xdr:to>
    <xdr:sp macro="" textlink="">
      <xdr:nvSpPr>
        <xdr:cNvPr id="3" name="文字方塊 2">
          <a:hlinkClick xmlns:r="http://schemas.openxmlformats.org/officeDocument/2006/relationships" r:id="rId2"/>
        </xdr:cNvPr>
        <xdr:cNvSpPr txBox="1"/>
      </xdr:nvSpPr>
      <xdr:spPr>
        <a:xfrm>
          <a:off x="3219450"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6579</xdr:colOff>
      <xdr:row>2</xdr:row>
      <xdr:rowOff>19050</xdr:rowOff>
    </xdr:from>
    <xdr:to>
      <xdr:col>6</xdr:col>
      <xdr:colOff>609600</xdr:colOff>
      <xdr:row>16</xdr:row>
      <xdr:rowOff>258356</xdr:rowOff>
    </xdr:to>
    <xdr:pic>
      <xdr:nvPicPr>
        <xdr:cNvPr id="4" name="圖片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8179" y="495300"/>
          <a:ext cx="3346221" cy="3973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1400175</xdr:colOff>
      <xdr:row>0</xdr:row>
      <xdr:rowOff>19050</xdr:rowOff>
    </xdr:from>
    <xdr:to>
      <xdr:col>3</xdr:col>
      <xdr:colOff>561975</xdr:colOff>
      <xdr:row>0</xdr:row>
      <xdr:rowOff>257175</xdr:rowOff>
    </xdr:to>
    <xdr:sp macro="" textlink="">
      <xdr:nvSpPr>
        <xdr:cNvPr id="5" name="文字方塊 4">
          <a:hlinkClick xmlns:r="http://schemas.openxmlformats.org/officeDocument/2006/relationships" r:id="rId2"/>
        </xdr:cNvPr>
        <xdr:cNvSpPr txBox="1"/>
      </xdr:nvSpPr>
      <xdr:spPr>
        <a:xfrm>
          <a:off x="2828925" y="19050"/>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638175</xdr:colOff>
      <xdr:row>0</xdr:row>
      <xdr:rowOff>19050</xdr:rowOff>
    </xdr:from>
    <xdr:to>
      <xdr:col>5</xdr:col>
      <xdr:colOff>228600</xdr:colOff>
      <xdr:row>0</xdr:row>
      <xdr:rowOff>257175</xdr:rowOff>
    </xdr:to>
    <xdr:sp macro="" textlink="">
      <xdr:nvSpPr>
        <xdr:cNvPr id="7" name="文字方塊 6">
          <a:hlinkClick xmlns:r="http://schemas.openxmlformats.org/officeDocument/2006/relationships" r:id="rId2"/>
        </xdr:cNvPr>
        <xdr:cNvSpPr txBox="1"/>
      </xdr:nvSpPr>
      <xdr:spPr>
        <a:xfrm>
          <a:off x="4181475"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68</xdr:row>
      <xdr:rowOff>19050</xdr:rowOff>
    </xdr:from>
    <xdr:to>
      <xdr:col>7</xdr:col>
      <xdr:colOff>38100</xdr:colOff>
      <xdr:row>83</xdr:row>
      <xdr:rowOff>161925</xdr:rowOff>
    </xdr:to>
    <xdr:pic>
      <xdr:nvPicPr>
        <xdr:cNvPr id="17" name="圖片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19964400"/>
          <a:ext cx="5610225"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47624</xdr:colOff>
      <xdr:row>4</xdr:row>
      <xdr:rowOff>266699</xdr:rowOff>
    </xdr:from>
    <xdr:to>
      <xdr:col>10</xdr:col>
      <xdr:colOff>369809</xdr:colOff>
      <xdr:row>14</xdr:row>
      <xdr:rowOff>133349</xdr:rowOff>
    </xdr:to>
    <xdr:pic>
      <xdr:nvPicPr>
        <xdr:cNvPr id="2" name="圖片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15074" y="1314449"/>
          <a:ext cx="2836785" cy="3419475"/>
        </a:xfrm>
        <a:prstGeom prst="rect">
          <a:avLst/>
        </a:prstGeom>
      </xdr:spPr>
    </xdr:pic>
    <xdr:clientData/>
  </xdr:twoCellAnchor>
  <xdr:twoCellAnchor>
    <xdr:from>
      <xdr:col>1</xdr:col>
      <xdr:colOff>790576</xdr:colOff>
      <xdr:row>76</xdr:row>
      <xdr:rowOff>19050</xdr:rowOff>
    </xdr:from>
    <xdr:to>
      <xdr:col>2</xdr:col>
      <xdr:colOff>561975</xdr:colOff>
      <xdr:row>76</xdr:row>
      <xdr:rowOff>19051</xdr:rowOff>
    </xdr:to>
    <xdr:cxnSp macro="">
      <xdr:nvCxnSpPr>
        <xdr:cNvPr id="7" name="直線單箭頭接點 6"/>
        <xdr:cNvCxnSpPr/>
      </xdr:nvCxnSpPr>
      <xdr:spPr>
        <a:xfrm flipV="1">
          <a:off x="1476376" y="21640800"/>
          <a:ext cx="609599" cy="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535381</xdr:colOff>
      <xdr:row>74</xdr:row>
      <xdr:rowOff>5185</xdr:rowOff>
    </xdr:from>
    <xdr:to>
      <xdr:col>2</xdr:col>
      <xdr:colOff>801313</xdr:colOff>
      <xdr:row>75</xdr:row>
      <xdr:rowOff>164967</xdr:rowOff>
    </xdr:to>
    <xdr:sp macro="" textlink="">
      <xdr:nvSpPr>
        <xdr:cNvPr id="8" name="矩形 7"/>
        <xdr:cNvSpPr/>
      </xdr:nvSpPr>
      <xdr:spPr>
        <a:xfrm>
          <a:off x="1221181" y="21207835"/>
          <a:ext cx="1104132" cy="369332"/>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b="1" kern="100">
              <a:solidFill>
                <a:srgbClr val="FF0000"/>
              </a:solidFill>
              <a:latin typeface="Times New Roman" pitchFamily="18" charset="0"/>
              <a:ea typeface="標楷體"/>
              <a:cs typeface="Times New Roman" pitchFamily="18" charset="0"/>
            </a:rPr>
            <a:t>主要風向</a:t>
          </a:r>
          <a:endParaRPr lang="zh-TW" altLang="en-US" b="1">
            <a:solidFill>
              <a:srgbClr val="FF0000"/>
            </a:solidFill>
          </a:endParaRPr>
        </a:p>
      </xdr:txBody>
    </xdr:sp>
    <xdr:clientData/>
  </xdr:twoCellAnchor>
  <xdr:twoCellAnchor>
    <xdr:from>
      <xdr:col>3</xdr:col>
      <xdr:colOff>866775</xdr:colOff>
      <xdr:row>69</xdr:row>
      <xdr:rowOff>114300</xdr:rowOff>
    </xdr:from>
    <xdr:to>
      <xdr:col>3</xdr:col>
      <xdr:colOff>866775</xdr:colOff>
      <xdr:row>72</xdr:row>
      <xdr:rowOff>47625</xdr:rowOff>
    </xdr:to>
    <xdr:cxnSp macro="">
      <xdr:nvCxnSpPr>
        <xdr:cNvPr id="9" name="直線單箭頭接點 8"/>
        <xdr:cNvCxnSpPr/>
      </xdr:nvCxnSpPr>
      <xdr:spPr>
        <a:xfrm>
          <a:off x="3514725" y="20269200"/>
          <a:ext cx="0" cy="5619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923926</xdr:colOff>
      <xdr:row>79</xdr:row>
      <xdr:rowOff>76200</xdr:rowOff>
    </xdr:from>
    <xdr:to>
      <xdr:col>3</xdr:col>
      <xdr:colOff>247650</xdr:colOff>
      <xdr:row>81</xdr:row>
      <xdr:rowOff>114300</xdr:rowOff>
    </xdr:to>
    <xdr:cxnSp macro="">
      <xdr:nvCxnSpPr>
        <xdr:cNvPr id="10" name="直線單箭頭接點 9"/>
        <xdr:cNvCxnSpPr/>
      </xdr:nvCxnSpPr>
      <xdr:spPr>
        <a:xfrm flipV="1">
          <a:off x="2447926" y="22326600"/>
          <a:ext cx="447674" cy="4572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819150</xdr:colOff>
      <xdr:row>0</xdr:row>
      <xdr:rowOff>19050</xdr:rowOff>
    </xdr:from>
    <xdr:to>
      <xdr:col>3</xdr:col>
      <xdr:colOff>133350</xdr:colOff>
      <xdr:row>0</xdr:row>
      <xdr:rowOff>257175</xdr:rowOff>
    </xdr:to>
    <xdr:sp macro="" textlink="">
      <xdr:nvSpPr>
        <xdr:cNvPr id="11" name="文字方塊 10">
          <a:hlinkClick xmlns:r="http://schemas.openxmlformats.org/officeDocument/2006/relationships" r:id="rId3"/>
        </xdr:cNvPr>
        <xdr:cNvSpPr txBox="1"/>
      </xdr:nvSpPr>
      <xdr:spPr>
        <a:xfrm>
          <a:off x="1504950" y="19050"/>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152400</xdr:colOff>
      <xdr:row>0</xdr:row>
      <xdr:rowOff>19050</xdr:rowOff>
    </xdr:from>
    <xdr:to>
      <xdr:col>4</xdr:col>
      <xdr:colOff>28575</xdr:colOff>
      <xdr:row>0</xdr:row>
      <xdr:rowOff>257175</xdr:rowOff>
    </xdr:to>
    <xdr:sp macro="" textlink="">
      <xdr:nvSpPr>
        <xdr:cNvPr id="12" name="文字方塊 11">
          <a:hlinkClick xmlns:r="http://schemas.openxmlformats.org/officeDocument/2006/relationships" r:id="rId4"/>
        </xdr:cNvPr>
        <xdr:cNvSpPr txBox="1"/>
      </xdr:nvSpPr>
      <xdr:spPr>
        <a:xfrm>
          <a:off x="2800350"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7</xdr:col>
      <xdr:colOff>28575</xdr:colOff>
      <xdr:row>49</xdr:row>
      <xdr:rowOff>19050</xdr:rowOff>
    </xdr:from>
    <xdr:to>
      <xdr:col>8</xdr:col>
      <xdr:colOff>847725</xdr:colOff>
      <xdr:row>51</xdr:row>
      <xdr:rowOff>561975</xdr:rowOff>
    </xdr:to>
    <xdr:pic>
      <xdr:nvPicPr>
        <xdr:cNvPr id="14" name="圖片 13"/>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296025" y="13382625"/>
          <a:ext cx="1657350"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847724</xdr:colOff>
      <xdr:row>49</xdr:row>
      <xdr:rowOff>28575</xdr:rowOff>
    </xdr:from>
    <xdr:to>
      <xdr:col>11</xdr:col>
      <xdr:colOff>65044</xdr:colOff>
      <xdr:row>51</xdr:row>
      <xdr:rowOff>561975</xdr:rowOff>
    </xdr:to>
    <xdr:pic>
      <xdr:nvPicPr>
        <xdr:cNvPr id="15" name="圖片 14"/>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53374" y="13392150"/>
          <a:ext cx="1817645"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66675</xdr:colOff>
      <xdr:row>49</xdr:row>
      <xdr:rowOff>28575</xdr:rowOff>
    </xdr:from>
    <xdr:to>
      <xdr:col>12</xdr:col>
      <xdr:colOff>714375</xdr:colOff>
      <xdr:row>51</xdr:row>
      <xdr:rowOff>552450</xdr:rowOff>
    </xdr:to>
    <xdr:pic>
      <xdr:nvPicPr>
        <xdr:cNvPr id="16" name="圖片 1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772650" y="13392150"/>
          <a:ext cx="169545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9524</xdr:colOff>
      <xdr:row>5</xdr:row>
      <xdr:rowOff>19049</xdr:rowOff>
    </xdr:from>
    <xdr:to>
      <xdr:col>10</xdr:col>
      <xdr:colOff>331709</xdr:colOff>
      <xdr:row>14</xdr:row>
      <xdr:rowOff>152399</xdr:rowOff>
    </xdr:to>
    <xdr:pic>
      <xdr:nvPicPr>
        <xdr:cNvPr id="5" name="圖片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4924" y="285749"/>
          <a:ext cx="2836785" cy="3419475"/>
        </a:xfrm>
        <a:prstGeom prst="rect">
          <a:avLst/>
        </a:prstGeom>
      </xdr:spPr>
    </xdr:pic>
    <xdr:clientData/>
  </xdr:twoCellAnchor>
  <xdr:twoCellAnchor editAs="oneCell">
    <xdr:from>
      <xdr:col>7</xdr:col>
      <xdr:colOff>28575</xdr:colOff>
      <xdr:row>37</xdr:row>
      <xdr:rowOff>28575</xdr:rowOff>
    </xdr:from>
    <xdr:to>
      <xdr:col>8</xdr:col>
      <xdr:colOff>890961</xdr:colOff>
      <xdr:row>39</xdr:row>
      <xdr:rowOff>542925</xdr:rowOff>
    </xdr:to>
    <xdr:pic>
      <xdr:nvPicPr>
        <xdr:cNvPr id="7"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96025" y="11087100"/>
          <a:ext cx="1700586" cy="22479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9</xdr:col>
      <xdr:colOff>0</xdr:colOff>
      <xdr:row>37</xdr:row>
      <xdr:rowOff>19050</xdr:rowOff>
    </xdr:from>
    <xdr:to>
      <xdr:col>10</xdr:col>
      <xdr:colOff>937966</xdr:colOff>
      <xdr:row>39</xdr:row>
      <xdr:rowOff>552450</xdr:rowOff>
    </xdr:to>
    <xdr:pic>
      <xdr:nvPicPr>
        <xdr:cNvPr id="8" name="Picture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29575" y="11077575"/>
          <a:ext cx="1690441" cy="22669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11</xdr:col>
      <xdr:colOff>9524</xdr:colOff>
      <xdr:row>37</xdr:row>
      <xdr:rowOff>38099</xdr:rowOff>
    </xdr:from>
    <xdr:to>
      <xdr:col>12</xdr:col>
      <xdr:colOff>647699</xdr:colOff>
      <xdr:row>39</xdr:row>
      <xdr:rowOff>549292</xdr:rowOff>
    </xdr:to>
    <xdr:pic>
      <xdr:nvPicPr>
        <xdr:cNvPr id="9"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44074" y="11096624"/>
          <a:ext cx="1685925" cy="224474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0</xdr:colOff>
      <xdr:row>53</xdr:row>
      <xdr:rowOff>19050</xdr:rowOff>
    </xdr:from>
    <xdr:to>
      <xdr:col>3</xdr:col>
      <xdr:colOff>1066800</xdr:colOff>
      <xdr:row>66</xdr:row>
      <xdr:rowOff>150767</xdr:rowOff>
    </xdr:to>
    <xdr:pic>
      <xdr:nvPicPr>
        <xdr:cNvPr id="12" name="圖片 1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5782925"/>
          <a:ext cx="3028950" cy="2855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965988</xdr:colOff>
      <xdr:row>60</xdr:row>
      <xdr:rowOff>127814</xdr:rowOff>
    </xdr:from>
    <xdr:to>
      <xdr:col>3</xdr:col>
      <xdr:colOff>542925</xdr:colOff>
      <xdr:row>60</xdr:row>
      <xdr:rowOff>142875</xdr:rowOff>
    </xdr:to>
    <xdr:cxnSp macro="">
      <xdr:nvCxnSpPr>
        <xdr:cNvPr id="13" name="直線單箭頭接點 12"/>
        <xdr:cNvCxnSpPr/>
      </xdr:nvCxnSpPr>
      <xdr:spPr>
        <a:xfrm flipH="1" flipV="1">
          <a:off x="2489988" y="17358539"/>
          <a:ext cx="700887" cy="1506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954481</xdr:colOff>
      <xdr:row>58</xdr:row>
      <xdr:rowOff>119485</xdr:rowOff>
    </xdr:from>
    <xdr:to>
      <xdr:col>3</xdr:col>
      <xdr:colOff>934663</xdr:colOff>
      <xdr:row>60</xdr:row>
      <xdr:rowOff>69717</xdr:rowOff>
    </xdr:to>
    <xdr:sp macro="" textlink="">
      <xdr:nvSpPr>
        <xdr:cNvPr id="14" name="矩形 13"/>
        <xdr:cNvSpPr/>
      </xdr:nvSpPr>
      <xdr:spPr>
        <a:xfrm>
          <a:off x="2478481" y="16931110"/>
          <a:ext cx="1104132" cy="369332"/>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b="1" kern="100">
              <a:solidFill>
                <a:srgbClr val="FF0000"/>
              </a:solidFill>
              <a:latin typeface="Times New Roman" pitchFamily="18" charset="0"/>
              <a:ea typeface="標楷體"/>
              <a:cs typeface="Times New Roman" pitchFamily="18" charset="0"/>
            </a:rPr>
            <a:t>主要風向</a:t>
          </a:r>
          <a:endParaRPr lang="zh-TW" altLang="en-US" b="1">
            <a:solidFill>
              <a:srgbClr val="FF0000"/>
            </a:solidFill>
          </a:endParaRPr>
        </a:p>
      </xdr:txBody>
    </xdr:sp>
    <xdr:clientData/>
  </xdr:twoCellAnchor>
  <xdr:twoCellAnchor>
    <xdr:from>
      <xdr:col>2</xdr:col>
      <xdr:colOff>828677</xdr:colOff>
      <xdr:row>54</xdr:row>
      <xdr:rowOff>171450</xdr:rowOff>
    </xdr:from>
    <xdr:to>
      <xdr:col>3</xdr:col>
      <xdr:colOff>28575</xdr:colOff>
      <xdr:row>57</xdr:row>
      <xdr:rowOff>65042</xdr:rowOff>
    </xdr:to>
    <xdr:cxnSp macro="">
      <xdr:nvCxnSpPr>
        <xdr:cNvPr id="15" name="直線單箭頭接點 14"/>
        <xdr:cNvCxnSpPr/>
      </xdr:nvCxnSpPr>
      <xdr:spPr>
        <a:xfrm flipH="1">
          <a:off x="2352677" y="16144875"/>
          <a:ext cx="323848" cy="52224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899478</xdr:colOff>
      <xdr:row>62</xdr:row>
      <xdr:rowOff>209018</xdr:rowOff>
    </xdr:from>
    <xdr:to>
      <xdr:col>3</xdr:col>
      <xdr:colOff>333375</xdr:colOff>
      <xdr:row>65</xdr:row>
      <xdr:rowOff>19050</xdr:rowOff>
    </xdr:to>
    <xdr:cxnSp macro="">
      <xdr:nvCxnSpPr>
        <xdr:cNvPr id="16" name="直線單箭頭接點 15"/>
        <xdr:cNvCxnSpPr/>
      </xdr:nvCxnSpPr>
      <xdr:spPr>
        <a:xfrm flipH="1" flipV="1">
          <a:off x="2423478" y="17858843"/>
          <a:ext cx="557847" cy="43868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771525</xdr:colOff>
      <xdr:row>0</xdr:row>
      <xdr:rowOff>19050</xdr:rowOff>
    </xdr:from>
    <xdr:to>
      <xdr:col>3</xdr:col>
      <xdr:colOff>85725</xdr:colOff>
      <xdr:row>0</xdr:row>
      <xdr:rowOff>257175</xdr:rowOff>
    </xdr:to>
    <xdr:sp macro="" textlink="">
      <xdr:nvSpPr>
        <xdr:cNvPr id="2" name="文字方塊 1">
          <a:hlinkClick xmlns:r="http://schemas.openxmlformats.org/officeDocument/2006/relationships" r:id="rId6"/>
        </xdr:cNvPr>
        <xdr:cNvSpPr txBox="1"/>
      </xdr:nvSpPr>
      <xdr:spPr>
        <a:xfrm>
          <a:off x="1457325" y="19050"/>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104775</xdr:colOff>
      <xdr:row>0</xdr:row>
      <xdr:rowOff>19050</xdr:rowOff>
    </xdr:from>
    <xdr:to>
      <xdr:col>3</xdr:col>
      <xdr:colOff>1066800</xdr:colOff>
      <xdr:row>0</xdr:row>
      <xdr:rowOff>257175</xdr:rowOff>
    </xdr:to>
    <xdr:sp macro="" textlink="">
      <xdr:nvSpPr>
        <xdr:cNvPr id="20" name="文字方塊 19">
          <a:hlinkClick xmlns:r="http://schemas.openxmlformats.org/officeDocument/2006/relationships" r:id="rId7"/>
        </xdr:cNvPr>
        <xdr:cNvSpPr txBox="1"/>
      </xdr:nvSpPr>
      <xdr:spPr>
        <a:xfrm>
          <a:off x="2752725"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0</xdr:row>
      <xdr:rowOff>19050</xdr:rowOff>
    </xdr:from>
    <xdr:to>
      <xdr:col>5</xdr:col>
      <xdr:colOff>209550</xdr:colOff>
      <xdr:row>0</xdr:row>
      <xdr:rowOff>257175</xdr:rowOff>
    </xdr:to>
    <xdr:sp macro="" textlink="">
      <xdr:nvSpPr>
        <xdr:cNvPr id="11" name="文字方塊 10">
          <a:hlinkClick xmlns:r="http://schemas.openxmlformats.org/officeDocument/2006/relationships" r:id="rId1"/>
        </xdr:cNvPr>
        <xdr:cNvSpPr txBox="1"/>
      </xdr:nvSpPr>
      <xdr:spPr>
        <a:xfrm>
          <a:off x="2733675" y="19050"/>
          <a:ext cx="13049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5</xdr:col>
      <xdr:colOff>276225</xdr:colOff>
      <xdr:row>0</xdr:row>
      <xdr:rowOff>28575</xdr:rowOff>
    </xdr:from>
    <xdr:to>
      <xdr:col>6</xdr:col>
      <xdr:colOff>390525</xdr:colOff>
      <xdr:row>1</xdr:row>
      <xdr:rowOff>0</xdr:rowOff>
    </xdr:to>
    <xdr:sp macro="" textlink="">
      <xdr:nvSpPr>
        <xdr:cNvPr id="12" name="文字方塊 11">
          <a:hlinkClick xmlns:r="http://schemas.openxmlformats.org/officeDocument/2006/relationships" r:id="rId1"/>
        </xdr:cNvPr>
        <xdr:cNvSpPr txBox="1"/>
      </xdr:nvSpPr>
      <xdr:spPr>
        <a:xfrm>
          <a:off x="4105275"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4</xdr:col>
      <xdr:colOff>38101</xdr:colOff>
      <xdr:row>2</xdr:row>
      <xdr:rowOff>1578</xdr:rowOff>
    </xdr:from>
    <xdr:to>
      <xdr:col>7</xdr:col>
      <xdr:colOff>278857</xdr:colOff>
      <xdr:row>15</xdr:row>
      <xdr:rowOff>247650</xdr:rowOff>
    </xdr:to>
    <xdr:pic>
      <xdr:nvPicPr>
        <xdr:cNvPr id="5" name="圖片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86101" y="534978"/>
          <a:ext cx="2707731" cy="3932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18250</xdr:colOff>
      <xdr:row>36</xdr:row>
      <xdr:rowOff>11152</xdr:rowOff>
    </xdr:from>
    <xdr:to>
      <xdr:col>4</xdr:col>
      <xdr:colOff>390526</xdr:colOff>
      <xdr:row>48</xdr:row>
      <xdr:rowOff>37590</xdr:rowOff>
    </xdr:to>
    <xdr:pic>
      <xdr:nvPicPr>
        <xdr:cNvPr id="6" name="Picture 4"/>
        <xdr:cNvPicPr>
          <a:picLocks noChangeAspect="1" noChangeArrowheads="1"/>
        </xdr:cNvPicPr>
      </xdr:nvPicPr>
      <xdr:blipFill>
        <a:blip xmlns:r="http://schemas.openxmlformats.org/officeDocument/2006/relationships" r:embed="rId3"/>
        <a:srcRect/>
        <a:stretch>
          <a:fillRect/>
        </a:stretch>
      </xdr:blipFill>
      <xdr:spPr>
        <a:xfrm>
          <a:off x="18250" y="8545552"/>
          <a:ext cx="3420276" cy="2541038"/>
        </a:xfrm>
        <a:prstGeom prst="rect">
          <a:avLst/>
        </a:prstGeom>
      </xdr:spPr>
    </xdr:pic>
    <xdr:clientData/>
  </xdr:twoCellAnchor>
  <xdr:twoCellAnchor editAs="oneCell">
    <xdr:from>
      <xdr:col>0</xdr:col>
      <xdr:colOff>0</xdr:colOff>
      <xdr:row>24</xdr:row>
      <xdr:rowOff>12010</xdr:rowOff>
    </xdr:from>
    <xdr:to>
      <xdr:col>4</xdr:col>
      <xdr:colOff>719341</xdr:colOff>
      <xdr:row>34</xdr:row>
      <xdr:rowOff>142875</xdr:rowOff>
    </xdr:to>
    <xdr:pic>
      <xdr:nvPicPr>
        <xdr:cNvPr id="7" name="Picture 5"/>
        <xdr:cNvPicPr>
          <a:picLocks noChangeAspect="1" noChangeArrowheads="1"/>
        </xdr:cNvPicPr>
      </xdr:nvPicPr>
      <xdr:blipFill>
        <a:blip xmlns:r="http://schemas.openxmlformats.org/officeDocument/2006/relationships" r:embed="rId4"/>
        <a:srcRect/>
        <a:stretch>
          <a:fillRect/>
        </a:stretch>
      </xdr:blipFill>
      <xdr:spPr bwMode="auto">
        <a:xfrm>
          <a:off x="0" y="6374710"/>
          <a:ext cx="3767341" cy="2226365"/>
        </a:xfrm>
        <a:prstGeom prst="rect">
          <a:avLst/>
        </a:prstGeom>
        <a:noFill/>
        <a:ln w="9525">
          <a:noFill/>
          <a:miter lim="800000"/>
          <a:headEnd/>
          <a:tailEnd/>
        </a:ln>
      </xdr:spPr>
    </xdr:pic>
    <xdr:clientData/>
  </xdr:twoCellAnchor>
  <xdr:twoCellAnchor editAs="oneCell">
    <xdr:from>
      <xdr:col>5</xdr:col>
      <xdr:colOff>49588</xdr:colOff>
      <xdr:row>35</xdr:row>
      <xdr:rowOff>245712</xdr:rowOff>
    </xdr:from>
    <xdr:to>
      <xdr:col>10</xdr:col>
      <xdr:colOff>104774</xdr:colOff>
      <xdr:row>46</xdr:row>
      <xdr:rowOff>197592</xdr:rowOff>
    </xdr:to>
    <xdr:pic>
      <xdr:nvPicPr>
        <xdr:cNvPr id="9" name="Picture 4" descr="100-0023_IMG"/>
        <xdr:cNvPicPr>
          <a:picLocks noChangeAspect="1" noChangeArrowheads="1"/>
        </xdr:cNvPicPr>
      </xdr:nvPicPr>
      <xdr:blipFill>
        <a:blip xmlns:r="http://schemas.openxmlformats.org/officeDocument/2006/relationships" r:embed="rId5"/>
        <a:srcRect/>
        <a:stretch>
          <a:fillRect/>
        </a:stretch>
      </xdr:blipFill>
      <xdr:spPr bwMode="auto">
        <a:xfrm>
          <a:off x="3878638" y="8532462"/>
          <a:ext cx="3493711" cy="2295030"/>
        </a:xfrm>
        <a:prstGeom prst="rect">
          <a:avLst/>
        </a:prstGeom>
        <a:noFill/>
        <a:ln w="9525">
          <a:noFill/>
          <a:miter lim="800000"/>
          <a:headEnd/>
          <a:tailEnd/>
        </a:ln>
      </xdr:spPr>
    </xdr:pic>
    <xdr:clientData/>
  </xdr:twoCellAnchor>
  <xdr:twoCellAnchor editAs="oneCell">
    <xdr:from>
      <xdr:col>5</xdr:col>
      <xdr:colOff>59112</xdr:colOff>
      <xdr:row>23</xdr:row>
      <xdr:rowOff>238124</xdr:rowOff>
    </xdr:from>
    <xdr:to>
      <xdr:col>10</xdr:col>
      <xdr:colOff>236176</xdr:colOff>
      <xdr:row>35</xdr:row>
      <xdr:rowOff>19049</xdr:rowOff>
    </xdr:to>
    <xdr:pic>
      <xdr:nvPicPr>
        <xdr:cNvPr id="10" name="Picture 2"/>
        <xdr:cNvPicPr>
          <a:picLocks noChangeAspect="1" noChangeArrowheads="1"/>
        </xdr:cNvPicPr>
      </xdr:nvPicPr>
      <xdr:blipFill>
        <a:blip xmlns:r="http://schemas.openxmlformats.org/officeDocument/2006/relationships" r:embed="rId6"/>
        <a:srcRect/>
        <a:stretch>
          <a:fillRect/>
        </a:stretch>
      </xdr:blipFill>
      <xdr:spPr>
        <a:xfrm>
          <a:off x="3888162" y="6353174"/>
          <a:ext cx="3615589" cy="2333625"/>
        </a:xfrm>
        <a:prstGeom prst="rect">
          <a:avLst/>
        </a:prstGeom>
      </xdr:spPr>
    </xdr:pic>
    <xdr:clientData/>
  </xdr:twoCellAnchor>
  <xdr:twoCellAnchor editAs="oneCell">
    <xdr:from>
      <xdr:col>0</xdr:col>
      <xdr:colOff>28575</xdr:colOff>
      <xdr:row>50</xdr:row>
      <xdr:rowOff>19909</xdr:rowOff>
    </xdr:from>
    <xdr:to>
      <xdr:col>4</xdr:col>
      <xdr:colOff>600075</xdr:colOff>
      <xdr:row>61</xdr:row>
      <xdr:rowOff>169418</xdr:rowOff>
    </xdr:to>
    <xdr:pic>
      <xdr:nvPicPr>
        <xdr:cNvPr id="18" name="Picture 3"/>
        <xdr:cNvPicPr>
          <a:picLocks noChangeAspect="1" noChangeArrowheads="1"/>
        </xdr:cNvPicPr>
      </xdr:nvPicPr>
      <xdr:blipFill>
        <a:blip xmlns:r="http://schemas.openxmlformats.org/officeDocument/2006/relationships" r:embed="rId7"/>
        <a:srcRect/>
        <a:stretch>
          <a:fillRect/>
        </a:stretch>
      </xdr:blipFill>
      <xdr:spPr>
        <a:xfrm>
          <a:off x="28575" y="12535759"/>
          <a:ext cx="3619500" cy="2454559"/>
        </a:xfrm>
        <a:prstGeom prst="rect">
          <a:avLst/>
        </a:prstGeom>
      </xdr:spPr>
    </xdr:pic>
    <xdr:clientData/>
  </xdr:twoCellAnchor>
  <xdr:twoCellAnchor editAs="oneCell">
    <xdr:from>
      <xdr:col>5</xdr:col>
      <xdr:colOff>41581</xdr:colOff>
      <xdr:row>49</xdr:row>
      <xdr:rowOff>228600</xdr:rowOff>
    </xdr:from>
    <xdr:to>
      <xdr:col>10</xdr:col>
      <xdr:colOff>219075</xdr:colOff>
      <xdr:row>62</xdr:row>
      <xdr:rowOff>207526</xdr:rowOff>
    </xdr:to>
    <xdr:pic>
      <xdr:nvPicPr>
        <xdr:cNvPr id="19" name="Picture 2" descr="C:\Users\Admin\Pictures\2012-04-23\009.JPG"/>
        <xdr:cNvPicPr>
          <a:picLocks noChangeAspect="1" noChangeArrowheads="1"/>
        </xdr:cNvPicPr>
      </xdr:nvPicPr>
      <xdr:blipFill>
        <a:blip xmlns:r="http://schemas.openxmlformats.org/officeDocument/2006/relationships" r:embed="rId8"/>
        <a:srcRect/>
        <a:stretch>
          <a:fillRect/>
        </a:stretch>
      </xdr:blipFill>
      <xdr:spPr bwMode="auto">
        <a:xfrm>
          <a:off x="3870631" y="12496800"/>
          <a:ext cx="3616019" cy="2741176"/>
        </a:xfrm>
        <a:prstGeom prst="rect">
          <a:avLst/>
        </a:prstGeom>
        <a:noFill/>
        <a:ln w="9525">
          <a:noFill/>
          <a:miter lim="800000"/>
          <a:headEnd/>
          <a:tailEnd/>
        </a:ln>
      </xdr:spPr>
    </xdr:pic>
    <xdr:clientData/>
  </xdr:twoCellAnchor>
  <xdr:twoCellAnchor editAs="oneCell">
    <xdr:from>
      <xdr:col>0</xdr:col>
      <xdr:colOff>28574</xdr:colOff>
      <xdr:row>64</xdr:row>
      <xdr:rowOff>3290</xdr:rowOff>
    </xdr:from>
    <xdr:to>
      <xdr:col>4</xdr:col>
      <xdr:colOff>704849</xdr:colOff>
      <xdr:row>76</xdr:row>
      <xdr:rowOff>11081</xdr:rowOff>
    </xdr:to>
    <xdr:pic>
      <xdr:nvPicPr>
        <xdr:cNvPr id="20" name="Picture 2"/>
        <xdr:cNvPicPr>
          <a:picLocks noChangeAspect="1" noChangeArrowheads="1"/>
        </xdr:cNvPicPr>
      </xdr:nvPicPr>
      <xdr:blipFill>
        <a:blip xmlns:r="http://schemas.openxmlformats.org/officeDocument/2006/relationships" r:embed="rId9"/>
        <a:srcRect/>
        <a:stretch>
          <a:fillRect/>
        </a:stretch>
      </xdr:blipFill>
      <xdr:spPr>
        <a:xfrm>
          <a:off x="28574" y="15490940"/>
          <a:ext cx="3724275" cy="2522391"/>
        </a:xfrm>
        <a:prstGeom prst="rect">
          <a:avLst/>
        </a:prstGeom>
      </xdr:spPr>
    </xdr:pic>
    <xdr:clientData/>
  </xdr:twoCellAnchor>
  <xdr:twoCellAnchor editAs="oneCell">
    <xdr:from>
      <xdr:col>5</xdr:col>
      <xdr:colOff>27734</xdr:colOff>
      <xdr:row>64</xdr:row>
      <xdr:rowOff>8456</xdr:rowOff>
    </xdr:from>
    <xdr:to>
      <xdr:col>10</xdr:col>
      <xdr:colOff>276759</xdr:colOff>
      <xdr:row>76</xdr:row>
      <xdr:rowOff>0</xdr:rowOff>
    </xdr:to>
    <xdr:pic>
      <xdr:nvPicPr>
        <xdr:cNvPr id="21" name="Picture 2"/>
        <xdr:cNvPicPr>
          <a:picLocks noChangeAspect="1" noChangeArrowheads="1"/>
        </xdr:cNvPicPr>
      </xdr:nvPicPr>
      <xdr:blipFill>
        <a:blip xmlns:r="http://schemas.openxmlformats.org/officeDocument/2006/relationships" r:embed="rId10"/>
        <a:srcRect/>
        <a:stretch>
          <a:fillRect/>
        </a:stretch>
      </xdr:blipFill>
      <xdr:spPr bwMode="auto">
        <a:xfrm>
          <a:off x="3856784" y="15496106"/>
          <a:ext cx="3687550" cy="2506144"/>
        </a:xfrm>
        <a:prstGeom prst="rect">
          <a:avLst/>
        </a:prstGeom>
        <a:noFill/>
        <a:ln w="9525">
          <a:noFill/>
          <a:miter lim="800000"/>
          <a:headEnd/>
          <a:tailEnd/>
        </a:ln>
      </xdr:spPr>
    </xdr:pic>
    <xdr:clientData/>
  </xdr:twoCellAnchor>
  <xdr:twoCellAnchor editAs="oneCell">
    <xdr:from>
      <xdr:col>12</xdr:col>
      <xdr:colOff>295275</xdr:colOff>
      <xdr:row>1</xdr:row>
      <xdr:rowOff>4048</xdr:rowOff>
    </xdr:from>
    <xdr:to>
      <xdr:col>18</xdr:col>
      <xdr:colOff>9525</xdr:colOff>
      <xdr:row>23</xdr:row>
      <xdr:rowOff>180975</xdr:rowOff>
    </xdr:to>
    <xdr:pic>
      <xdr:nvPicPr>
        <xdr:cNvPr id="14" name="圖片 13" descr="「台灣主要河川分布圖」的圖片搜尋結果"/>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944100" y="270748"/>
          <a:ext cx="4143375" cy="6263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200025</xdr:colOff>
      <xdr:row>0</xdr:row>
      <xdr:rowOff>28575</xdr:rowOff>
    </xdr:from>
    <xdr:to>
      <xdr:col>3</xdr:col>
      <xdr:colOff>390525</xdr:colOff>
      <xdr:row>1</xdr:row>
      <xdr:rowOff>0</xdr:rowOff>
    </xdr:to>
    <xdr:sp macro="" textlink="">
      <xdr:nvSpPr>
        <xdr:cNvPr id="2" name="文字方塊 1">
          <a:hlinkClick xmlns:r="http://schemas.openxmlformats.org/officeDocument/2006/relationships" r:id="rId1"/>
        </xdr:cNvPr>
        <xdr:cNvSpPr txBox="1"/>
      </xdr:nvSpPr>
      <xdr:spPr>
        <a:xfrm>
          <a:off x="2743200" y="28575"/>
          <a:ext cx="13049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495300</xdr:colOff>
      <xdr:row>0</xdr:row>
      <xdr:rowOff>19050</xdr:rowOff>
    </xdr:from>
    <xdr:to>
      <xdr:col>4</xdr:col>
      <xdr:colOff>19050</xdr:colOff>
      <xdr:row>0</xdr:row>
      <xdr:rowOff>257175</xdr:rowOff>
    </xdr:to>
    <xdr:sp macro="" textlink="">
      <xdr:nvSpPr>
        <xdr:cNvPr id="3" name="文字方塊 2">
          <a:hlinkClick xmlns:r="http://schemas.openxmlformats.org/officeDocument/2006/relationships" r:id="rId1"/>
        </xdr:cNvPr>
        <xdr:cNvSpPr txBox="1"/>
      </xdr:nvSpPr>
      <xdr:spPr>
        <a:xfrm>
          <a:off x="4152900" y="19050"/>
          <a:ext cx="1066800"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66675</xdr:colOff>
      <xdr:row>0</xdr:row>
      <xdr:rowOff>28575</xdr:rowOff>
    </xdr:from>
    <xdr:to>
      <xdr:col>3</xdr:col>
      <xdr:colOff>285750</xdr:colOff>
      <xdr:row>1</xdr:row>
      <xdr:rowOff>0</xdr:rowOff>
    </xdr:to>
    <xdr:sp macro="" textlink="">
      <xdr:nvSpPr>
        <xdr:cNvPr id="2" name="文字方塊 1">
          <a:hlinkClick xmlns:r="http://schemas.openxmlformats.org/officeDocument/2006/relationships" r:id="rId1"/>
        </xdr:cNvPr>
        <xdr:cNvSpPr txBox="1"/>
      </xdr:nvSpPr>
      <xdr:spPr>
        <a:xfrm>
          <a:off x="2562225" y="28575"/>
          <a:ext cx="133350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333374</xdr:colOff>
      <xdr:row>0</xdr:row>
      <xdr:rowOff>28575</xdr:rowOff>
    </xdr:from>
    <xdr:to>
      <xdr:col>3</xdr:col>
      <xdr:colOff>1247775</xdr:colOff>
      <xdr:row>1</xdr:row>
      <xdr:rowOff>0</xdr:rowOff>
    </xdr:to>
    <xdr:sp macro="" textlink="">
      <xdr:nvSpPr>
        <xdr:cNvPr id="3" name="文字方塊 2">
          <a:hlinkClick xmlns:r="http://schemas.openxmlformats.org/officeDocument/2006/relationships" r:id="rId2"/>
        </xdr:cNvPr>
        <xdr:cNvSpPr txBox="1"/>
      </xdr:nvSpPr>
      <xdr:spPr>
        <a:xfrm>
          <a:off x="3943349" y="28575"/>
          <a:ext cx="914401"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8</xdr:col>
      <xdr:colOff>38101</xdr:colOff>
      <xdr:row>3</xdr:row>
      <xdr:rowOff>28575</xdr:rowOff>
    </xdr:from>
    <xdr:to>
      <xdr:col>14</xdr:col>
      <xdr:colOff>470867</xdr:colOff>
      <xdr:row>13</xdr:row>
      <xdr:rowOff>228600</xdr:rowOff>
    </xdr:to>
    <xdr:pic>
      <xdr:nvPicPr>
        <xdr:cNvPr id="9" name="圖片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01076" y="828675"/>
          <a:ext cx="4547566" cy="264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22</xdr:row>
      <xdr:rowOff>38100</xdr:rowOff>
    </xdr:from>
    <xdr:to>
      <xdr:col>4</xdr:col>
      <xdr:colOff>552451</xdr:colOff>
      <xdr:row>37</xdr:row>
      <xdr:rowOff>192283</xdr:rowOff>
    </xdr:to>
    <xdr:pic>
      <xdr:nvPicPr>
        <xdr:cNvPr id="10" name="圖片 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 y="5438775"/>
          <a:ext cx="5486400" cy="3792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22</xdr:row>
      <xdr:rowOff>28574</xdr:rowOff>
    </xdr:from>
    <xdr:to>
      <xdr:col>12</xdr:col>
      <xdr:colOff>456632</xdr:colOff>
      <xdr:row>37</xdr:row>
      <xdr:rowOff>171449</xdr:rowOff>
    </xdr:to>
    <xdr:pic>
      <xdr:nvPicPr>
        <xdr:cNvPr id="11" name="圖片 1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67375" y="5429249"/>
          <a:ext cx="6095432"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266700</xdr:colOff>
      <xdr:row>0</xdr:row>
      <xdr:rowOff>28575</xdr:rowOff>
    </xdr:from>
    <xdr:to>
      <xdr:col>2</xdr:col>
      <xdr:colOff>1552575</xdr:colOff>
      <xdr:row>1</xdr:row>
      <xdr:rowOff>0</xdr:rowOff>
    </xdr:to>
    <xdr:sp macro="" textlink="">
      <xdr:nvSpPr>
        <xdr:cNvPr id="2" name="文字方塊 1">
          <a:hlinkClick xmlns:r="http://schemas.openxmlformats.org/officeDocument/2006/relationships" r:id="rId1"/>
        </xdr:cNvPr>
        <xdr:cNvSpPr txBox="1"/>
      </xdr:nvSpPr>
      <xdr:spPr>
        <a:xfrm>
          <a:off x="2114550" y="28575"/>
          <a:ext cx="128587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1647824</xdr:colOff>
      <xdr:row>0</xdr:row>
      <xdr:rowOff>28575</xdr:rowOff>
    </xdr:from>
    <xdr:to>
      <xdr:col>3</xdr:col>
      <xdr:colOff>819149</xdr:colOff>
      <xdr:row>1</xdr:row>
      <xdr:rowOff>0</xdr:rowOff>
    </xdr:to>
    <xdr:sp macro="" textlink="">
      <xdr:nvSpPr>
        <xdr:cNvPr id="3" name="文字方塊 2">
          <a:hlinkClick xmlns:r="http://schemas.openxmlformats.org/officeDocument/2006/relationships" r:id="rId2"/>
        </xdr:cNvPr>
        <xdr:cNvSpPr txBox="1"/>
      </xdr:nvSpPr>
      <xdr:spPr>
        <a:xfrm>
          <a:off x="3495674" y="28575"/>
          <a:ext cx="98107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8</xdr:col>
      <xdr:colOff>38101</xdr:colOff>
      <xdr:row>3</xdr:row>
      <xdr:rowOff>19050</xdr:rowOff>
    </xdr:from>
    <xdr:to>
      <xdr:col>16</xdr:col>
      <xdr:colOff>84775</xdr:colOff>
      <xdr:row>15</xdr:row>
      <xdr:rowOff>200025</xdr:rowOff>
    </xdr:to>
    <xdr:pic>
      <xdr:nvPicPr>
        <xdr:cNvPr id="4" name="圖片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34026" y="819150"/>
          <a:ext cx="5533074"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9526</xdr:colOff>
      <xdr:row>19</xdr:row>
      <xdr:rowOff>19567</xdr:rowOff>
    </xdr:from>
    <xdr:to>
      <xdr:col>15</xdr:col>
      <xdr:colOff>676276</xdr:colOff>
      <xdr:row>28</xdr:row>
      <xdr:rowOff>215153</xdr:rowOff>
    </xdr:to>
    <xdr:pic>
      <xdr:nvPicPr>
        <xdr:cNvPr id="5" name="圖片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81776" y="4210567"/>
          <a:ext cx="5467350" cy="2424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32</xdr:row>
      <xdr:rowOff>9525</xdr:rowOff>
    </xdr:from>
    <xdr:to>
      <xdr:col>16</xdr:col>
      <xdr:colOff>47625</xdr:colOff>
      <xdr:row>44</xdr:row>
      <xdr:rowOff>11803</xdr:rowOff>
    </xdr:to>
    <xdr:pic>
      <xdr:nvPicPr>
        <xdr:cNvPr id="6" name="圖片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91300" y="6962775"/>
          <a:ext cx="5514975" cy="3059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46</xdr:row>
      <xdr:rowOff>38100</xdr:rowOff>
    </xdr:from>
    <xdr:to>
      <xdr:col>16</xdr:col>
      <xdr:colOff>28575</xdr:colOff>
      <xdr:row>61</xdr:row>
      <xdr:rowOff>150874</xdr:rowOff>
    </xdr:to>
    <xdr:pic>
      <xdr:nvPicPr>
        <xdr:cNvPr id="7" name="圖片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39350" y="11706225"/>
          <a:ext cx="5486400" cy="3256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46</xdr:row>
      <xdr:rowOff>9525</xdr:rowOff>
    </xdr:from>
    <xdr:to>
      <xdr:col>7</xdr:col>
      <xdr:colOff>542925</xdr:colOff>
      <xdr:row>65</xdr:row>
      <xdr:rowOff>0</xdr:rowOff>
    </xdr:to>
    <xdr:pic>
      <xdr:nvPicPr>
        <xdr:cNvPr id="8" name="圖片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91100" y="11715750"/>
          <a:ext cx="4800600"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66675</xdr:colOff>
      <xdr:row>0</xdr:row>
      <xdr:rowOff>28575</xdr:rowOff>
    </xdr:from>
    <xdr:to>
      <xdr:col>2</xdr:col>
      <xdr:colOff>1352550</xdr:colOff>
      <xdr:row>1</xdr:row>
      <xdr:rowOff>0</xdr:rowOff>
    </xdr:to>
    <xdr:sp macro="" textlink="">
      <xdr:nvSpPr>
        <xdr:cNvPr id="2" name="文字方塊 1">
          <a:hlinkClick xmlns:r="http://schemas.openxmlformats.org/officeDocument/2006/relationships" r:id="rId1"/>
        </xdr:cNvPr>
        <xdr:cNvSpPr txBox="1"/>
      </xdr:nvSpPr>
      <xdr:spPr>
        <a:xfrm>
          <a:off x="1914525" y="28575"/>
          <a:ext cx="128587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1409699</xdr:colOff>
      <xdr:row>0</xdr:row>
      <xdr:rowOff>28575</xdr:rowOff>
    </xdr:from>
    <xdr:to>
      <xdr:col>3</xdr:col>
      <xdr:colOff>581024</xdr:colOff>
      <xdr:row>1</xdr:row>
      <xdr:rowOff>0</xdr:rowOff>
    </xdr:to>
    <xdr:sp macro="" textlink="">
      <xdr:nvSpPr>
        <xdr:cNvPr id="3" name="文字方塊 2">
          <a:hlinkClick xmlns:r="http://schemas.openxmlformats.org/officeDocument/2006/relationships" r:id="rId2"/>
        </xdr:cNvPr>
        <xdr:cNvSpPr txBox="1"/>
      </xdr:nvSpPr>
      <xdr:spPr>
        <a:xfrm>
          <a:off x="3257549" y="28575"/>
          <a:ext cx="98107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7</xdr:col>
      <xdr:colOff>733425</xdr:colOff>
      <xdr:row>3</xdr:row>
      <xdr:rowOff>1</xdr:rowOff>
    </xdr:from>
    <xdr:to>
      <xdr:col>19</xdr:col>
      <xdr:colOff>0</xdr:colOff>
      <xdr:row>14</xdr:row>
      <xdr:rowOff>112959</xdr:rowOff>
    </xdr:to>
    <xdr:pic>
      <xdr:nvPicPr>
        <xdr:cNvPr id="13" name="圖片 1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82200" y="800101"/>
          <a:ext cx="7572375" cy="280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9526</xdr:colOff>
      <xdr:row>16</xdr:row>
      <xdr:rowOff>9526</xdr:rowOff>
    </xdr:from>
    <xdr:to>
      <xdr:col>17</xdr:col>
      <xdr:colOff>528078</xdr:colOff>
      <xdr:row>26</xdr:row>
      <xdr:rowOff>238125</xdr:rowOff>
    </xdr:to>
    <xdr:pic>
      <xdr:nvPicPr>
        <xdr:cNvPr id="14" name="圖片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20301" y="4000501"/>
          <a:ext cx="6690752" cy="294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752476</xdr:colOff>
      <xdr:row>28</xdr:row>
      <xdr:rowOff>0</xdr:rowOff>
    </xdr:from>
    <xdr:to>
      <xdr:col>18</xdr:col>
      <xdr:colOff>104775</xdr:colOff>
      <xdr:row>37</xdr:row>
      <xdr:rowOff>197044</xdr:rowOff>
    </xdr:to>
    <xdr:pic>
      <xdr:nvPicPr>
        <xdr:cNvPr id="15" name="圖片 1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01251" y="7200900"/>
          <a:ext cx="6972299" cy="2549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9526</xdr:colOff>
      <xdr:row>39</xdr:row>
      <xdr:rowOff>19051</xdr:rowOff>
    </xdr:from>
    <xdr:to>
      <xdr:col>19</xdr:col>
      <xdr:colOff>2377</xdr:colOff>
      <xdr:row>48</xdr:row>
      <xdr:rowOff>219075</xdr:rowOff>
    </xdr:to>
    <xdr:pic>
      <xdr:nvPicPr>
        <xdr:cNvPr id="16" name="圖片 1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20301" y="10029826"/>
          <a:ext cx="7536651" cy="242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104775</xdr:colOff>
      <xdr:row>39</xdr:row>
      <xdr:rowOff>57150</xdr:rowOff>
    </xdr:from>
    <xdr:to>
      <xdr:col>7</xdr:col>
      <xdr:colOff>409575</xdr:colOff>
      <xdr:row>57</xdr:row>
      <xdr:rowOff>171450</xdr:rowOff>
    </xdr:to>
    <xdr:pic>
      <xdr:nvPicPr>
        <xdr:cNvPr id="17" name="圖片 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10325" y="10067925"/>
          <a:ext cx="3248025" cy="481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66675</xdr:colOff>
      <xdr:row>0</xdr:row>
      <xdr:rowOff>28575</xdr:rowOff>
    </xdr:from>
    <xdr:to>
      <xdr:col>3</xdr:col>
      <xdr:colOff>285750</xdr:colOff>
      <xdr:row>1</xdr:row>
      <xdr:rowOff>0</xdr:rowOff>
    </xdr:to>
    <xdr:sp macro="" textlink="">
      <xdr:nvSpPr>
        <xdr:cNvPr id="2" name="文字方塊 1">
          <a:hlinkClick xmlns:r="http://schemas.openxmlformats.org/officeDocument/2006/relationships" r:id="rId1"/>
        </xdr:cNvPr>
        <xdr:cNvSpPr txBox="1"/>
      </xdr:nvSpPr>
      <xdr:spPr>
        <a:xfrm>
          <a:off x="2562225" y="28575"/>
          <a:ext cx="133350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333374</xdr:colOff>
      <xdr:row>0</xdr:row>
      <xdr:rowOff>28575</xdr:rowOff>
    </xdr:from>
    <xdr:to>
      <xdr:col>3</xdr:col>
      <xdr:colOff>1247775</xdr:colOff>
      <xdr:row>1</xdr:row>
      <xdr:rowOff>0</xdr:rowOff>
    </xdr:to>
    <xdr:sp macro="" textlink="">
      <xdr:nvSpPr>
        <xdr:cNvPr id="3" name="文字方塊 2">
          <a:hlinkClick xmlns:r="http://schemas.openxmlformats.org/officeDocument/2006/relationships" r:id="rId2"/>
        </xdr:cNvPr>
        <xdr:cNvSpPr txBox="1"/>
      </xdr:nvSpPr>
      <xdr:spPr>
        <a:xfrm>
          <a:off x="3943349" y="28575"/>
          <a:ext cx="914401"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0</xdr:col>
      <xdr:colOff>38100</xdr:colOff>
      <xdr:row>25</xdr:row>
      <xdr:rowOff>28575</xdr:rowOff>
    </xdr:from>
    <xdr:to>
      <xdr:col>3</xdr:col>
      <xdr:colOff>1304925</xdr:colOff>
      <xdr:row>35</xdr:row>
      <xdr:rowOff>171450</xdr:rowOff>
    </xdr:to>
    <xdr:pic>
      <xdr:nvPicPr>
        <xdr:cNvPr id="7" name="圖片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6172200"/>
          <a:ext cx="487680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114300</xdr:rowOff>
    </xdr:from>
    <xdr:to>
      <xdr:col>3</xdr:col>
      <xdr:colOff>1282700</xdr:colOff>
      <xdr:row>48</xdr:row>
      <xdr:rowOff>57150</xdr:rowOff>
    </xdr:to>
    <xdr:pic>
      <xdr:nvPicPr>
        <xdr:cNvPr id="8" name="圖片 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134475"/>
          <a:ext cx="4892675"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25</xdr:row>
      <xdr:rowOff>9525</xdr:rowOff>
    </xdr:from>
    <xdr:to>
      <xdr:col>10</xdr:col>
      <xdr:colOff>123825</xdr:colOff>
      <xdr:row>35</xdr:row>
      <xdr:rowOff>95250</xdr:rowOff>
    </xdr:to>
    <xdr:pic>
      <xdr:nvPicPr>
        <xdr:cNvPr id="9" name="圖片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62525" y="6153150"/>
          <a:ext cx="48672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3</xdr:row>
      <xdr:rowOff>28575</xdr:rowOff>
    </xdr:from>
    <xdr:to>
      <xdr:col>11</xdr:col>
      <xdr:colOff>523875</xdr:colOff>
      <xdr:row>13</xdr:row>
      <xdr:rowOff>133350</xdr:rowOff>
    </xdr:to>
    <xdr:pic>
      <xdr:nvPicPr>
        <xdr:cNvPr id="10" name="圖片 9"/>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34375" y="828675"/>
          <a:ext cx="2581275" cy="2981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19051</xdr:colOff>
      <xdr:row>10</xdr:row>
      <xdr:rowOff>32658</xdr:rowOff>
    </xdr:from>
    <xdr:to>
      <xdr:col>7</xdr:col>
      <xdr:colOff>666750</xdr:colOff>
      <xdr:row>15</xdr:row>
      <xdr:rowOff>226073</xdr:rowOff>
    </xdr:to>
    <xdr:pic>
      <xdr:nvPicPr>
        <xdr:cNvPr id="11" name="圖片 1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91251" y="2556783"/>
          <a:ext cx="2076449" cy="182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38101</xdr:colOff>
      <xdr:row>3</xdr:row>
      <xdr:rowOff>0</xdr:rowOff>
    </xdr:from>
    <xdr:to>
      <xdr:col>7</xdr:col>
      <xdr:colOff>547176</xdr:colOff>
      <xdr:row>9</xdr:row>
      <xdr:rowOff>0</xdr:rowOff>
    </xdr:to>
    <xdr:pic>
      <xdr:nvPicPr>
        <xdr:cNvPr id="12" name="圖片 1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10301" y="800100"/>
          <a:ext cx="1937825"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47626</xdr:colOff>
      <xdr:row>10</xdr:row>
      <xdr:rowOff>48867</xdr:rowOff>
    </xdr:from>
    <xdr:to>
      <xdr:col>5</xdr:col>
      <xdr:colOff>1</xdr:colOff>
      <xdr:row>14</xdr:row>
      <xdr:rowOff>154405</xdr:rowOff>
    </xdr:to>
    <xdr:pic>
      <xdr:nvPicPr>
        <xdr:cNvPr id="13" name="圖片 1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657601" y="2572992"/>
          <a:ext cx="2495550" cy="1496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xdr:colOff>
      <xdr:row>0</xdr:row>
      <xdr:rowOff>28575</xdr:rowOff>
    </xdr:from>
    <xdr:to>
      <xdr:col>2</xdr:col>
      <xdr:colOff>1276351</xdr:colOff>
      <xdr:row>1</xdr:row>
      <xdr:rowOff>0</xdr:rowOff>
    </xdr:to>
    <xdr:sp macro="" textlink="">
      <xdr:nvSpPr>
        <xdr:cNvPr id="2" name="文字方塊 1">
          <a:hlinkClick xmlns:r="http://schemas.openxmlformats.org/officeDocument/2006/relationships" r:id="rId1"/>
        </xdr:cNvPr>
        <xdr:cNvSpPr txBox="1"/>
      </xdr:nvSpPr>
      <xdr:spPr>
        <a:xfrm>
          <a:off x="2543176" y="28575"/>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1333500</xdr:colOff>
      <xdr:row>0</xdr:row>
      <xdr:rowOff>28575</xdr:rowOff>
    </xdr:from>
    <xdr:to>
      <xdr:col>3</xdr:col>
      <xdr:colOff>495300</xdr:colOff>
      <xdr:row>1</xdr:row>
      <xdr:rowOff>0</xdr:rowOff>
    </xdr:to>
    <xdr:sp macro="" textlink="">
      <xdr:nvSpPr>
        <xdr:cNvPr id="3" name="文字方塊 2">
          <a:hlinkClick xmlns:r="http://schemas.openxmlformats.org/officeDocument/2006/relationships" r:id="rId1"/>
        </xdr:cNvPr>
        <xdr:cNvSpPr txBox="1"/>
      </xdr:nvSpPr>
      <xdr:spPr>
        <a:xfrm>
          <a:off x="3876675" y="28575"/>
          <a:ext cx="914400"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0</xdr:row>
      <xdr:rowOff>19050</xdr:rowOff>
    </xdr:from>
    <xdr:to>
      <xdr:col>2</xdr:col>
      <xdr:colOff>1266825</xdr:colOff>
      <xdr:row>0</xdr:row>
      <xdr:rowOff>257175</xdr:rowOff>
    </xdr:to>
    <xdr:sp macro="" textlink="">
      <xdr:nvSpPr>
        <xdr:cNvPr id="2" name="文字方塊 1">
          <a:hlinkClick xmlns:r="http://schemas.openxmlformats.org/officeDocument/2006/relationships" r:id="rId1"/>
        </xdr:cNvPr>
        <xdr:cNvSpPr txBox="1"/>
      </xdr:nvSpPr>
      <xdr:spPr>
        <a:xfrm>
          <a:off x="1762125" y="19050"/>
          <a:ext cx="125730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9525</xdr:colOff>
      <xdr:row>0</xdr:row>
      <xdr:rowOff>28575</xdr:rowOff>
    </xdr:from>
    <xdr:to>
      <xdr:col>5</xdr:col>
      <xdr:colOff>19050</xdr:colOff>
      <xdr:row>1</xdr:row>
      <xdr:rowOff>0</xdr:rowOff>
    </xdr:to>
    <xdr:sp macro="" textlink="">
      <xdr:nvSpPr>
        <xdr:cNvPr id="3" name="文字方塊 2">
          <a:hlinkClick xmlns:r="http://schemas.openxmlformats.org/officeDocument/2006/relationships" r:id="rId2"/>
        </xdr:cNvPr>
        <xdr:cNvSpPr txBox="1"/>
      </xdr:nvSpPr>
      <xdr:spPr>
        <a:xfrm>
          <a:off x="3095625"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12</xdr:col>
      <xdr:colOff>19050</xdr:colOff>
      <xdr:row>2</xdr:row>
      <xdr:rowOff>19050</xdr:rowOff>
    </xdr:from>
    <xdr:to>
      <xdr:col>15</xdr:col>
      <xdr:colOff>493635</xdr:colOff>
      <xdr:row>14</xdr:row>
      <xdr:rowOff>9525</xdr:rowOff>
    </xdr:to>
    <xdr:pic>
      <xdr:nvPicPr>
        <xdr:cNvPr id="6" name="圖片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15500" y="552450"/>
          <a:ext cx="2836785" cy="34194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2</xdr:col>
      <xdr:colOff>47625</xdr:colOff>
      <xdr:row>0</xdr:row>
      <xdr:rowOff>19050</xdr:rowOff>
    </xdr:from>
    <xdr:to>
      <xdr:col>2</xdr:col>
      <xdr:colOff>1390650</xdr:colOff>
      <xdr:row>0</xdr:row>
      <xdr:rowOff>257175</xdr:rowOff>
    </xdr:to>
    <xdr:sp macro="" textlink="">
      <xdr:nvSpPr>
        <xdr:cNvPr id="2" name="文字方塊 1">
          <a:hlinkClick xmlns:r="http://schemas.openxmlformats.org/officeDocument/2006/relationships" r:id="rId1"/>
        </xdr:cNvPr>
        <xdr:cNvSpPr txBox="1"/>
      </xdr:nvSpPr>
      <xdr:spPr>
        <a:xfrm>
          <a:off x="2486025" y="19050"/>
          <a:ext cx="13430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1495425</xdr:colOff>
      <xdr:row>0</xdr:row>
      <xdr:rowOff>19050</xdr:rowOff>
    </xdr:from>
    <xdr:to>
      <xdr:col>2</xdr:col>
      <xdr:colOff>2562225</xdr:colOff>
      <xdr:row>0</xdr:row>
      <xdr:rowOff>257175</xdr:rowOff>
    </xdr:to>
    <xdr:sp macro="" textlink="">
      <xdr:nvSpPr>
        <xdr:cNvPr id="3" name="文字方塊 2">
          <a:hlinkClick xmlns:r="http://schemas.openxmlformats.org/officeDocument/2006/relationships" r:id="rId2"/>
        </xdr:cNvPr>
        <xdr:cNvSpPr txBox="1"/>
      </xdr:nvSpPr>
      <xdr:spPr>
        <a:xfrm>
          <a:off x="3933825" y="19050"/>
          <a:ext cx="1066800"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47625</xdr:colOff>
      <xdr:row>0</xdr:row>
      <xdr:rowOff>19050</xdr:rowOff>
    </xdr:from>
    <xdr:to>
      <xdr:col>2</xdr:col>
      <xdr:colOff>1390650</xdr:colOff>
      <xdr:row>0</xdr:row>
      <xdr:rowOff>257175</xdr:rowOff>
    </xdr:to>
    <xdr:sp macro="" textlink="">
      <xdr:nvSpPr>
        <xdr:cNvPr id="5" name="文字方塊 4">
          <a:hlinkClick xmlns:r="http://schemas.openxmlformats.org/officeDocument/2006/relationships" r:id="rId1"/>
        </xdr:cNvPr>
        <xdr:cNvSpPr txBox="1"/>
      </xdr:nvSpPr>
      <xdr:spPr>
        <a:xfrm>
          <a:off x="2638425" y="19050"/>
          <a:ext cx="13430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1495425</xdr:colOff>
      <xdr:row>0</xdr:row>
      <xdr:rowOff>19050</xdr:rowOff>
    </xdr:from>
    <xdr:to>
      <xdr:col>2</xdr:col>
      <xdr:colOff>2562225</xdr:colOff>
      <xdr:row>0</xdr:row>
      <xdr:rowOff>257175</xdr:rowOff>
    </xdr:to>
    <xdr:sp macro="" textlink="">
      <xdr:nvSpPr>
        <xdr:cNvPr id="6" name="文字方塊 5">
          <a:hlinkClick xmlns:r="http://schemas.openxmlformats.org/officeDocument/2006/relationships" r:id="rId2"/>
        </xdr:cNvPr>
        <xdr:cNvSpPr txBox="1"/>
      </xdr:nvSpPr>
      <xdr:spPr>
        <a:xfrm>
          <a:off x="4086225" y="19050"/>
          <a:ext cx="1066800"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mc:AlternateContent xmlns:mc="http://schemas.openxmlformats.org/markup-compatibility/2006">
    <mc:Choice xmlns:a14="http://schemas.microsoft.com/office/drawing/2010/main" Requires="a14">
      <xdr:twoCellAnchor editAs="oneCell">
        <xdr:from>
          <xdr:col>0</xdr:col>
          <xdr:colOff>7620</xdr:colOff>
          <xdr:row>27</xdr:row>
          <xdr:rowOff>22860</xdr:rowOff>
        </xdr:from>
        <xdr:to>
          <xdr:col>3</xdr:col>
          <xdr:colOff>830580</xdr:colOff>
          <xdr:row>60</xdr:row>
          <xdr:rowOff>182880</xdr:rowOff>
        </xdr:to>
        <xdr:sp macro="" textlink="">
          <xdr:nvSpPr>
            <xdr:cNvPr id="35846" name="Object 6" hidden="1">
              <a:extLst>
                <a:ext uri="{63B3BB69-23CF-44E3-9099-C40C66FF867C}">
                  <a14:compatExt spid="_x0000_s35846"/>
                </a:ext>
              </a:extLst>
            </xdr:cNvPr>
            <xdr:cNvSpPr/>
          </xdr:nvSpPr>
          <xdr:spPr>
            <a:xfrm>
              <a:off x="0" y="0"/>
              <a:ext cx="0" cy="0"/>
            </a:xfrm>
            <a:prstGeom prst="rect">
              <a:avLst/>
            </a:prstGeom>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xdr:from>
      <xdr:col>2</xdr:col>
      <xdr:colOff>1</xdr:colOff>
      <xdr:row>0</xdr:row>
      <xdr:rowOff>28575</xdr:rowOff>
    </xdr:from>
    <xdr:to>
      <xdr:col>2</xdr:col>
      <xdr:colOff>1276351</xdr:colOff>
      <xdr:row>1</xdr:row>
      <xdr:rowOff>0</xdr:rowOff>
    </xdr:to>
    <xdr:sp macro="" textlink="">
      <xdr:nvSpPr>
        <xdr:cNvPr id="2" name="文字方塊 1">
          <a:hlinkClick xmlns:r="http://schemas.openxmlformats.org/officeDocument/2006/relationships" r:id="rId1"/>
        </xdr:cNvPr>
        <xdr:cNvSpPr txBox="1"/>
      </xdr:nvSpPr>
      <xdr:spPr>
        <a:xfrm>
          <a:off x="2543176" y="28575"/>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1333500</xdr:colOff>
      <xdr:row>0</xdr:row>
      <xdr:rowOff>28575</xdr:rowOff>
    </xdr:from>
    <xdr:to>
      <xdr:col>3</xdr:col>
      <xdr:colOff>495300</xdr:colOff>
      <xdr:row>1</xdr:row>
      <xdr:rowOff>0</xdr:rowOff>
    </xdr:to>
    <xdr:sp macro="" textlink="">
      <xdr:nvSpPr>
        <xdr:cNvPr id="3" name="文字方塊 2">
          <a:hlinkClick xmlns:r="http://schemas.openxmlformats.org/officeDocument/2006/relationships" r:id="rId1"/>
        </xdr:cNvPr>
        <xdr:cNvSpPr txBox="1"/>
      </xdr:nvSpPr>
      <xdr:spPr>
        <a:xfrm>
          <a:off x="3876675" y="28575"/>
          <a:ext cx="914400"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533400</xdr:colOff>
      <xdr:row>0</xdr:row>
      <xdr:rowOff>19050</xdr:rowOff>
    </xdr:from>
    <xdr:to>
      <xdr:col>4</xdr:col>
      <xdr:colOff>85725</xdr:colOff>
      <xdr:row>0</xdr:row>
      <xdr:rowOff>257175</xdr:rowOff>
    </xdr:to>
    <xdr:sp macro="" textlink="">
      <xdr:nvSpPr>
        <xdr:cNvPr id="2" name="文字方塊 1">
          <a:hlinkClick xmlns:r="http://schemas.openxmlformats.org/officeDocument/2006/relationships" r:id="rId1"/>
        </xdr:cNvPr>
        <xdr:cNvSpPr txBox="1"/>
      </xdr:nvSpPr>
      <xdr:spPr>
        <a:xfrm>
          <a:off x="2057400" y="19050"/>
          <a:ext cx="136207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4</xdr:col>
      <xdr:colOff>180975</xdr:colOff>
      <xdr:row>0</xdr:row>
      <xdr:rowOff>19050</xdr:rowOff>
    </xdr:from>
    <xdr:to>
      <xdr:col>5</xdr:col>
      <xdr:colOff>238125</xdr:colOff>
      <xdr:row>0</xdr:row>
      <xdr:rowOff>257175</xdr:rowOff>
    </xdr:to>
    <xdr:sp macro="" textlink="">
      <xdr:nvSpPr>
        <xdr:cNvPr id="3" name="文字方塊 2">
          <a:hlinkClick xmlns:r="http://schemas.openxmlformats.org/officeDocument/2006/relationships" r:id="rId2"/>
        </xdr:cNvPr>
        <xdr:cNvSpPr txBox="1"/>
      </xdr:nvSpPr>
      <xdr:spPr>
        <a:xfrm>
          <a:off x="3514725"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266700</xdr:colOff>
      <xdr:row>0</xdr:row>
      <xdr:rowOff>28575</xdr:rowOff>
    </xdr:from>
    <xdr:to>
      <xdr:col>3</xdr:col>
      <xdr:colOff>723900</xdr:colOff>
      <xdr:row>1</xdr:row>
      <xdr:rowOff>0</xdr:rowOff>
    </xdr:to>
    <xdr:sp macro="" textlink="">
      <xdr:nvSpPr>
        <xdr:cNvPr id="2" name="文字方塊 1">
          <a:hlinkClick xmlns:r="http://schemas.openxmlformats.org/officeDocument/2006/relationships" r:id="rId1"/>
        </xdr:cNvPr>
        <xdr:cNvSpPr txBox="1"/>
      </xdr:nvSpPr>
      <xdr:spPr>
        <a:xfrm>
          <a:off x="2514600" y="28575"/>
          <a:ext cx="136207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762000</xdr:colOff>
      <xdr:row>0</xdr:row>
      <xdr:rowOff>19050</xdr:rowOff>
    </xdr:from>
    <xdr:to>
      <xdr:col>4</xdr:col>
      <xdr:colOff>819150</xdr:colOff>
      <xdr:row>0</xdr:row>
      <xdr:rowOff>257175</xdr:rowOff>
    </xdr:to>
    <xdr:sp macro="" textlink="">
      <xdr:nvSpPr>
        <xdr:cNvPr id="3" name="文字方塊 2">
          <a:hlinkClick xmlns:r="http://schemas.openxmlformats.org/officeDocument/2006/relationships" r:id="rId2"/>
        </xdr:cNvPr>
        <xdr:cNvSpPr txBox="1"/>
      </xdr:nvSpPr>
      <xdr:spPr>
        <a:xfrm>
          <a:off x="3914775"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xdr:col>
      <xdr:colOff>0</xdr:colOff>
      <xdr:row>0</xdr:row>
      <xdr:rowOff>28575</xdr:rowOff>
    </xdr:from>
    <xdr:to>
      <xdr:col>3</xdr:col>
      <xdr:colOff>381000</xdr:colOff>
      <xdr:row>1</xdr:row>
      <xdr:rowOff>0</xdr:rowOff>
    </xdr:to>
    <xdr:sp macro="" textlink="">
      <xdr:nvSpPr>
        <xdr:cNvPr id="2" name="文字方塊 1">
          <a:hlinkClick xmlns:r="http://schemas.openxmlformats.org/officeDocument/2006/relationships" r:id="rId1"/>
        </xdr:cNvPr>
        <xdr:cNvSpPr txBox="1"/>
      </xdr:nvSpPr>
      <xdr:spPr>
        <a:xfrm>
          <a:off x="2124075" y="28575"/>
          <a:ext cx="128587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457200</xdr:colOff>
      <xdr:row>0</xdr:row>
      <xdr:rowOff>19050</xdr:rowOff>
    </xdr:from>
    <xdr:to>
      <xdr:col>4</xdr:col>
      <xdr:colOff>514350</xdr:colOff>
      <xdr:row>0</xdr:row>
      <xdr:rowOff>257175</xdr:rowOff>
    </xdr:to>
    <xdr:sp macro="" textlink="">
      <xdr:nvSpPr>
        <xdr:cNvPr id="3" name="文字方塊 2">
          <a:hlinkClick xmlns:r="http://schemas.openxmlformats.org/officeDocument/2006/relationships" r:id="rId1"/>
        </xdr:cNvPr>
        <xdr:cNvSpPr txBox="1"/>
      </xdr:nvSpPr>
      <xdr:spPr>
        <a:xfrm>
          <a:off x="3486150"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38100</xdr:colOff>
      <xdr:row>0</xdr:row>
      <xdr:rowOff>19050</xdr:rowOff>
    </xdr:from>
    <xdr:to>
      <xdr:col>3</xdr:col>
      <xdr:colOff>552450</xdr:colOff>
      <xdr:row>0</xdr:row>
      <xdr:rowOff>257175</xdr:rowOff>
    </xdr:to>
    <xdr:sp macro="" textlink="">
      <xdr:nvSpPr>
        <xdr:cNvPr id="2" name="文字方塊 1">
          <a:hlinkClick xmlns:r="http://schemas.openxmlformats.org/officeDocument/2006/relationships" r:id="rId1"/>
        </xdr:cNvPr>
        <xdr:cNvSpPr txBox="1"/>
      </xdr:nvSpPr>
      <xdr:spPr>
        <a:xfrm>
          <a:off x="2047875" y="19050"/>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609600</xdr:colOff>
      <xdr:row>0</xdr:row>
      <xdr:rowOff>19050</xdr:rowOff>
    </xdr:from>
    <xdr:to>
      <xdr:col>4</xdr:col>
      <xdr:colOff>628650</xdr:colOff>
      <xdr:row>0</xdr:row>
      <xdr:rowOff>257175</xdr:rowOff>
    </xdr:to>
    <xdr:sp macro="" textlink="">
      <xdr:nvSpPr>
        <xdr:cNvPr id="3" name="文字方塊 2">
          <a:hlinkClick xmlns:r="http://schemas.openxmlformats.org/officeDocument/2006/relationships" r:id="rId1"/>
        </xdr:cNvPr>
        <xdr:cNvSpPr txBox="1"/>
      </xdr:nvSpPr>
      <xdr:spPr>
        <a:xfrm>
          <a:off x="3381375" y="19050"/>
          <a:ext cx="9239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xdr:col>
      <xdr:colOff>1</xdr:colOff>
      <xdr:row>0</xdr:row>
      <xdr:rowOff>20292</xdr:rowOff>
    </xdr:from>
    <xdr:to>
      <xdr:col>3</xdr:col>
      <xdr:colOff>180976</xdr:colOff>
      <xdr:row>0</xdr:row>
      <xdr:rowOff>256760</xdr:rowOff>
    </xdr:to>
    <xdr:sp macro="" textlink="">
      <xdr:nvSpPr>
        <xdr:cNvPr id="2" name="文字方塊 1">
          <a:hlinkClick xmlns:r="http://schemas.openxmlformats.org/officeDocument/2006/relationships" r:id="rId1"/>
        </xdr:cNvPr>
        <xdr:cNvSpPr txBox="1"/>
      </xdr:nvSpPr>
      <xdr:spPr>
        <a:xfrm>
          <a:off x="2057401" y="20292"/>
          <a:ext cx="1295400" cy="236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255517</xdr:colOff>
      <xdr:row>0</xdr:row>
      <xdr:rowOff>19051</xdr:rowOff>
    </xdr:from>
    <xdr:to>
      <xdr:col>3</xdr:col>
      <xdr:colOff>1184412</xdr:colOff>
      <xdr:row>0</xdr:row>
      <xdr:rowOff>257176</xdr:rowOff>
    </xdr:to>
    <xdr:sp macro="" textlink="">
      <xdr:nvSpPr>
        <xdr:cNvPr id="3" name="文字方塊 2">
          <a:hlinkClick xmlns:r="http://schemas.openxmlformats.org/officeDocument/2006/relationships" r:id="rId1"/>
        </xdr:cNvPr>
        <xdr:cNvSpPr txBox="1"/>
      </xdr:nvSpPr>
      <xdr:spPr>
        <a:xfrm>
          <a:off x="3427342" y="19051"/>
          <a:ext cx="92889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1</xdr:col>
      <xdr:colOff>24847</xdr:colOff>
      <xdr:row>7</xdr:row>
      <xdr:rowOff>16565</xdr:rowOff>
    </xdr:from>
    <xdr:to>
      <xdr:col>2</xdr:col>
      <xdr:colOff>852517</xdr:colOff>
      <xdr:row>23</xdr:row>
      <xdr:rowOff>203752</xdr:rowOff>
    </xdr:to>
    <xdr:pic>
      <xdr:nvPicPr>
        <xdr:cNvPr id="4" name="圖片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8369" y="753717"/>
          <a:ext cx="2368235" cy="3577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61706</xdr:colOff>
      <xdr:row>31</xdr:row>
      <xdr:rowOff>30646</xdr:rowOff>
    </xdr:from>
    <xdr:to>
      <xdr:col>12</xdr:col>
      <xdr:colOff>402122</xdr:colOff>
      <xdr:row>43</xdr:row>
      <xdr:rowOff>133350</xdr:rowOff>
    </xdr:to>
    <xdr:pic>
      <xdr:nvPicPr>
        <xdr:cNvPr id="5" name="圖片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6056" y="7060096"/>
          <a:ext cx="10455966" cy="2617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1101587</xdr:colOff>
      <xdr:row>7</xdr:row>
      <xdr:rowOff>16565</xdr:rowOff>
    </xdr:from>
    <xdr:to>
      <xdr:col>7</xdr:col>
      <xdr:colOff>23191</xdr:colOff>
      <xdr:row>17</xdr:row>
      <xdr:rowOff>16407</xdr:rowOff>
    </xdr:to>
    <xdr:pic>
      <xdr:nvPicPr>
        <xdr:cNvPr id="6" name="圖片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55674" y="795130"/>
          <a:ext cx="4075043" cy="207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xdr:row>
      <xdr:rowOff>8282</xdr:rowOff>
    </xdr:from>
    <xdr:to>
      <xdr:col>7</xdr:col>
      <xdr:colOff>38101</xdr:colOff>
      <xdr:row>27</xdr:row>
      <xdr:rowOff>162867</xdr:rowOff>
    </xdr:to>
    <xdr:pic>
      <xdr:nvPicPr>
        <xdr:cNvPr id="7" name="圖片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04436" y="3415195"/>
          <a:ext cx="3705087" cy="1948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685799</xdr:colOff>
      <xdr:row>7</xdr:row>
      <xdr:rowOff>0</xdr:rowOff>
    </xdr:from>
    <xdr:to>
      <xdr:col>13</xdr:col>
      <xdr:colOff>6632</xdr:colOff>
      <xdr:row>18</xdr:row>
      <xdr:rowOff>133349</xdr:rowOff>
    </xdr:to>
    <xdr:pic>
      <xdr:nvPicPr>
        <xdr:cNvPr id="8" name="圖片 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86699" y="1847850"/>
          <a:ext cx="3435633" cy="243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9524</xdr:colOff>
      <xdr:row>20</xdr:row>
      <xdr:rowOff>38100</xdr:rowOff>
    </xdr:from>
    <xdr:to>
      <xdr:col>12</xdr:col>
      <xdr:colOff>685799</xdr:colOff>
      <xdr:row>31</xdr:row>
      <xdr:rowOff>84804</xdr:rowOff>
    </xdr:to>
    <xdr:pic>
      <xdr:nvPicPr>
        <xdr:cNvPr id="9" name="圖片 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896224" y="4648200"/>
          <a:ext cx="3419475" cy="2427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76200</xdr:colOff>
      <xdr:row>7</xdr:row>
      <xdr:rowOff>19050</xdr:rowOff>
    </xdr:from>
    <xdr:to>
      <xdr:col>20</xdr:col>
      <xdr:colOff>428625</xdr:colOff>
      <xdr:row>17</xdr:row>
      <xdr:rowOff>95250</xdr:rowOff>
    </xdr:to>
    <xdr:pic>
      <xdr:nvPicPr>
        <xdr:cNvPr id="10" name="圖片 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391900" y="1866900"/>
          <a:ext cx="515302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2</xdr:col>
      <xdr:colOff>1</xdr:colOff>
      <xdr:row>0</xdr:row>
      <xdr:rowOff>28575</xdr:rowOff>
    </xdr:from>
    <xdr:to>
      <xdr:col>3</xdr:col>
      <xdr:colOff>47626</xdr:colOff>
      <xdr:row>1</xdr:row>
      <xdr:rowOff>0</xdr:rowOff>
    </xdr:to>
    <xdr:sp macro="" textlink="">
      <xdr:nvSpPr>
        <xdr:cNvPr id="2" name="文字方塊 1">
          <a:hlinkClick xmlns:r="http://schemas.openxmlformats.org/officeDocument/2006/relationships" r:id="rId1"/>
        </xdr:cNvPr>
        <xdr:cNvSpPr txBox="1"/>
      </xdr:nvSpPr>
      <xdr:spPr>
        <a:xfrm>
          <a:off x="2466976" y="28575"/>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114300</xdr:colOff>
      <xdr:row>0</xdr:row>
      <xdr:rowOff>28575</xdr:rowOff>
    </xdr:from>
    <xdr:to>
      <xdr:col>3</xdr:col>
      <xdr:colOff>1095375</xdr:colOff>
      <xdr:row>1</xdr:row>
      <xdr:rowOff>0</xdr:rowOff>
    </xdr:to>
    <xdr:sp macro="" textlink="">
      <xdr:nvSpPr>
        <xdr:cNvPr id="3" name="文字方塊 2">
          <a:hlinkClick xmlns:r="http://schemas.openxmlformats.org/officeDocument/2006/relationships" r:id="rId1"/>
        </xdr:cNvPr>
        <xdr:cNvSpPr txBox="1"/>
      </xdr:nvSpPr>
      <xdr:spPr>
        <a:xfrm>
          <a:off x="3810000" y="28575"/>
          <a:ext cx="98107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7</xdr:col>
      <xdr:colOff>28575</xdr:colOff>
      <xdr:row>3</xdr:row>
      <xdr:rowOff>27516</xdr:rowOff>
    </xdr:from>
    <xdr:to>
      <xdr:col>8</xdr:col>
      <xdr:colOff>215736</xdr:colOff>
      <xdr:row>19</xdr:row>
      <xdr:rowOff>57150</xdr:rowOff>
    </xdr:to>
    <xdr:pic>
      <xdr:nvPicPr>
        <xdr:cNvPr id="13" name="圖片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39100" y="1018116"/>
          <a:ext cx="872961" cy="3763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28575</xdr:rowOff>
    </xdr:from>
    <xdr:to>
      <xdr:col>2</xdr:col>
      <xdr:colOff>1343025</xdr:colOff>
      <xdr:row>20</xdr:row>
      <xdr:rowOff>152400</xdr:rowOff>
    </xdr:to>
    <xdr:pic>
      <xdr:nvPicPr>
        <xdr:cNvPr id="2" name="圖片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86100" y="2009775"/>
          <a:ext cx="1343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219075</xdr:colOff>
      <xdr:row>13</xdr:row>
      <xdr:rowOff>9525</xdr:rowOff>
    </xdr:from>
    <xdr:to>
      <xdr:col>5</xdr:col>
      <xdr:colOff>228600</xdr:colOff>
      <xdr:row>20</xdr:row>
      <xdr:rowOff>200025</xdr:rowOff>
    </xdr:to>
    <xdr:pic>
      <xdr:nvPicPr>
        <xdr:cNvPr id="3" name="圖片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95825" y="2238375"/>
          <a:ext cx="182880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381000</xdr:colOff>
      <xdr:row>3</xdr:row>
      <xdr:rowOff>114300</xdr:rowOff>
    </xdr:from>
    <xdr:to>
      <xdr:col>8</xdr:col>
      <xdr:colOff>666750</xdr:colOff>
      <xdr:row>4</xdr:row>
      <xdr:rowOff>0</xdr:rowOff>
    </xdr:to>
    <xdr:sp macro="" textlink="">
      <xdr:nvSpPr>
        <xdr:cNvPr id="6" name="矩形 5"/>
        <xdr:cNvSpPr/>
      </xdr:nvSpPr>
      <xdr:spPr>
        <a:xfrm>
          <a:off x="7705725" y="1104900"/>
          <a:ext cx="1657350" cy="292388"/>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北方山牆面內部強化</a:t>
          </a:r>
        </a:p>
      </xdr:txBody>
    </xdr:sp>
    <xdr:clientData/>
  </xdr:twoCellAnchor>
  <xdr:twoCellAnchor>
    <xdr:from>
      <xdr:col>6</xdr:col>
      <xdr:colOff>352425</xdr:colOff>
      <xdr:row>19</xdr:row>
      <xdr:rowOff>180975</xdr:rowOff>
    </xdr:from>
    <xdr:to>
      <xdr:col>8</xdr:col>
      <xdr:colOff>638175</xdr:colOff>
      <xdr:row>21</xdr:row>
      <xdr:rowOff>54263</xdr:rowOff>
    </xdr:to>
    <xdr:sp macro="" textlink="">
      <xdr:nvSpPr>
        <xdr:cNvPr id="7" name="矩形 6"/>
        <xdr:cNvSpPr/>
      </xdr:nvSpPr>
      <xdr:spPr>
        <a:xfrm>
          <a:off x="7677150" y="4086225"/>
          <a:ext cx="1657350" cy="292388"/>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南方山牆面內部強化</a:t>
          </a:r>
        </a:p>
      </xdr:txBody>
    </xdr:sp>
    <xdr:clientData/>
  </xdr:twoCellAnchor>
  <xdr:twoCellAnchor>
    <xdr:from>
      <xdr:col>7</xdr:col>
      <xdr:colOff>561976</xdr:colOff>
      <xdr:row>4</xdr:row>
      <xdr:rowOff>19050</xdr:rowOff>
    </xdr:from>
    <xdr:to>
      <xdr:col>8</xdr:col>
      <xdr:colOff>180976</xdr:colOff>
      <xdr:row>16</xdr:row>
      <xdr:rowOff>104775</xdr:rowOff>
    </xdr:to>
    <xdr:sp macro="" textlink="">
      <xdr:nvSpPr>
        <xdr:cNvPr id="8" name="矩形 7"/>
        <xdr:cNvSpPr/>
      </xdr:nvSpPr>
      <xdr:spPr>
        <a:xfrm>
          <a:off x="8572501" y="1504950"/>
          <a:ext cx="304800" cy="1876425"/>
        </a:xfrm>
        <a:prstGeom prst="rect">
          <a:avLst/>
        </a:prstGeom>
      </xdr:spPr>
      <xdr:txBody>
        <a:bodyPr wrap="square">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東側力霸樑內部強化</a:t>
          </a:r>
        </a:p>
      </xdr:txBody>
    </xdr:sp>
    <xdr:clientData/>
  </xdr:twoCellAnchor>
  <xdr:twoCellAnchor>
    <xdr:from>
      <xdr:col>7</xdr:col>
      <xdr:colOff>114300</xdr:colOff>
      <xdr:row>4</xdr:row>
      <xdr:rowOff>38100</xdr:rowOff>
    </xdr:from>
    <xdr:to>
      <xdr:col>7</xdr:col>
      <xdr:colOff>419100</xdr:colOff>
      <xdr:row>16</xdr:row>
      <xdr:rowOff>104775</xdr:rowOff>
    </xdr:to>
    <xdr:sp macro="" textlink="">
      <xdr:nvSpPr>
        <xdr:cNvPr id="9" name="矩形 8"/>
        <xdr:cNvSpPr/>
      </xdr:nvSpPr>
      <xdr:spPr>
        <a:xfrm>
          <a:off x="8124825" y="1524000"/>
          <a:ext cx="304800" cy="1857375"/>
        </a:xfrm>
        <a:prstGeom prst="rect">
          <a:avLst/>
        </a:prstGeom>
      </xdr:spPr>
      <xdr:txBody>
        <a:bodyPr wrap="square">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西側力霸樑內部強化</a:t>
          </a:r>
        </a:p>
      </xdr:txBody>
    </xdr:sp>
    <xdr:clientData/>
  </xdr:twoCellAnchor>
  <xdr:twoCellAnchor editAs="oneCell">
    <xdr:from>
      <xdr:col>10</xdr:col>
      <xdr:colOff>9525</xdr:colOff>
      <xdr:row>8</xdr:row>
      <xdr:rowOff>9525</xdr:rowOff>
    </xdr:from>
    <xdr:to>
      <xdr:col>12</xdr:col>
      <xdr:colOff>71438</xdr:colOff>
      <xdr:row>15</xdr:row>
      <xdr:rowOff>114300</xdr:rowOff>
    </xdr:to>
    <xdr:pic>
      <xdr:nvPicPr>
        <xdr:cNvPr id="11"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77450" y="2009775"/>
          <a:ext cx="1433513" cy="17621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714375</xdr:colOff>
      <xdr:row>0</xdr:row>
      <xdr:rowOff>66675</xdr:rowOff>
    </xdr:from>
    <xdr:to>
      <xdr:col>2</xdr:col>
      <xdr:colOff>238125</xdr:colOff>
      <xdr:row>1</xdr:row>
      <xdr:rowOff>38100</xdr:rowOff>
    </xdr:to>
    <xdr:sp macro="" textlink="">
      <xdr:nvSpPr>
        <xdr:cNvPr id="12" name="文字方塊 11">
          <a:hlinkClick xmlns:r="http://schemas.openxmlformats.org/officeDocument/2006/relationships" r:id="rId5"/>
        </xdr:cNvPr>
        <xdr:cNvSpPr txBox="1"/>
      </xdr:nvSpPr>
      <xdr:spPr>
        <a:xfrm>
          <a:off x="2047875" y="66675"/>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381000</xdr:colOff>
      <xdr:row>0</xdr:row>
      <xdr:rowOff>66675</xdr:rowOff>
    </xdr:from>
    <xdr:to>
      <xdr:col>2</xdr:col>
      <xdr:colOff>1343025</xdr:colOff>
      <xdr:row>1</xdr:row>
      <xdr:rowOff>38100</xdr:rowOff>
    </xdr:to>
    <xdr:sp macro="" textlink="">
      <xdr:nvSpPr>
        <xdr:cNvPr id="14" name="文字方塊 13">
          <a:hlinkClick xmlns:r="http://schemas.openxmlformats.org/officeDocument/2006/relationships" r:id="rId6"/>
        </xdr:cNvPr>
        <xdr:cNvSpPr txBox="1"/>
      </xdr:nvSpPr>
      <xdr:spPr>
        <a:xfrm>
          <a:off x="3467100" y="666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7</xdr:col>
      <xdr:colOff>628650</xdr:colOff>
      <xdr:row>4</xdr:row>
      <xdr:rowOff>180975</xdr:rowOff>
    </xdr:from>
    <xdr:to>
      <xdr:col>9</xdr:col>
      <xdr:colOff>130011</xdr:colOff>
      <xdr:row>21</xdr:row>
      <xdr:rowOff>162984</xdr:rowOff>
    </xdr:to>
    <xdr:pic>
      <xdr:nvPicPr>
        <xdr:cNvPr id="9" name="圖片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81975" y="923925"/>
          <a:ext cx="872961" cy="3763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304800</xdr:colOff>
      <xdr:row>3</xdr:row>
      <xdr:rowOff>219075</xdr:rowOff>
    </xdr:from>
    <xdr:to>
      <xdr:col>9</xdr:col>
      <xdr:colOff>590550</xdr:colOff>
      <xdr:row>5</xdr:row>
      <xdr:rowOff>16163</xdr:rowOff>
    </xdr:to>
    <xdr:sp macro="" textlink="">
      <xdr:nvSpPr>
        <xdr:cNvPr id="5" name="矩形 4"/>
        <xdr:cNvSpPr/>
      </xdr:nvSpPr>
      <xdr:spPr>
        <a:xfrm>
          <a:off x="7858125" y="714375"/>
          <a:ext cx="1657350" cy="292388"/>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北方山牆面外部強化</a:t>
          </a:r>
        </a:p>
      </xdr:txBody>
    </xdr:sp>
    <xdr:clientData/>
  </xdr:twoCellAnchor>
  <xdr:twoCellAnchor>
    <xdr:from>
      <xdr:col>7</xdr:col>
      <xdr:colOff>314325</xdr:colOff>
      <xdr:row>21</xdr:row>
      <xdr:rowOff>9525</xdr:rowOff>
    </xdr:from>
    <xdr:to>
      <xdr:col>9</xdr:col>
      <xdr:colOff>600075</xdr:colOff>
      <xdr:row>22</xdr:row>
      <xdr:rowOff>92363</xdr:rowOff>
    </xdr:to>
    <xdr:sp macro="" textlink="">
      <xdr:nvSpPr>
        <xdr:cNvPr id="6" name="矩形 5"/>
        <xdr:cNvSpPr/>
      </xdr:nvSpPr>
      <xdr:spPr>
        <a:xfrm>
          <a:off x="7867650" y="4333875"/>
          <a:ext cx="1657350" cy="292388"/>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南方山牆面外部強化</a:t>
          </a:r>
        </a:p>
      </xdr:txBody>
    </xdr:sp>
    <xdr:clientData/>
  </xdr:twoCellAnchor>
  <xdr:twoCellAnchor>
    <xdr:from>
      <xdr:col>7</xdr:col>
      <xdr:colOff>304801</xdr:colOff>
      <xdr:row>7</xdr:row>
      <xdr:rowOff>209550</xdr:rowOff>
    </xdr:from>
    <xdr:to>
      <xdr:col>7</xdr:col>
      <xdr:colOff>609601</xdr:colOff>
      <xdr:row>16</xdr:row>
      <xdr:rowOff>64026</xdr:rowOff>
    </xdr:to>
    <xdr:sp macro="" textlink="">
      <xdr:nvSpPr>
        <xdr:cNvPr id="7" name="矩形 6"/>
        <xdr:cNvSpPr/>
      </xdr:nvSpPr>
      <xdr:spPr>
        <a:xfrm>
          <a:off x="7858126" y="1447800"/>
          <a:ext cx="304800" cy="1892826"/>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西側力霸樑外部強化</a:t>
          </a:r>
        </a:p>
      </xdr:txBody>
    </xdr:sp>
    <xdr:clientData/>
  </xdr:twoCellAnchor>
  <xdr:twoCellAnchor editAs="oneCell">
    <xdr:from>
      <xdr:col>3</xdr:col>
      <xdr:colOff>38102</xdr:colOff>
      <xdr:row>10</xdr:row>
      <xdr:rowOff>123825</xdr:rowOff>
    </xdr:from>
    <xdr:to>
      <xdr:col>5</xdr:col>
      <xdr:colOff>636555</xdr:colOff>
      <xdr:row>18</xdr:row>
      <xdr:rowOff>21831</xdr:rowOff>
    </xdr:to>
    <xdr:pic>
      <xdr:nvPicPr>
        <xdr:cNvPr id="12"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43452" y="2352675"/>
          <a:ext cx="2074828" cy="157440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1419225</xdr:colOff>
      <xdr:row>10</xdr:row>
      <xdr:rowOff>76200</xdr:rowOff>
    </xdr:from>
    <xdr:to>
      <xdr:col>3</xdr:col>
      <xdr:colOff>9525</xdr:colOff>
      <xdr:row>18</xdr:row>
      <xdr:rowOff>0</xdr:rowOff>
    </xdr:to>
    <xdr:pic>
      <xdr:nvPicPr>
        <xdr:cNvPr id="14" name="圖片 1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52725" y="2305050"/>
          <a:ext cx="196215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0</xdr:row>
      <xdr:rowOff>57150</xdr:rowOff>
    </xdr:from>
    <xdr:to>
      <xdr:col>1</xdr:col>
      <xdr:colOff>1466850</xdr:colOff>
      <xdr:row>1</xdr:row>
      <xdr:rowOff>28575</xdr:rowOff>
    </xdr:to>
    <xdr:sp macro="" textlink="">
      <xdr:nvSpPr>
        <xdr:cNvPr id="8" name="文字方塊 7">
          <a:hlinkClick xmlns:r="http://schemas.openxmlformats.org/officeDocument/2006/relationships" r:id="rId4"/>
        </xdr:cNvPr>
        <xdr:cNvSpPr txBox="1"/>
      </xdr:nvSpPr>
      <xdr:spPr>
        <a:xfrm>
          <a:off x="2181225" y="57150"/>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1</xdr:col>
      <xdr:colOff>1628775</xdr:colOff>
      <xdr:row>0</xdr:row>
      <xdr:rowOff>57150</xdr:rowOff>
    </xdr:from>
    <xdr:to>
      <xdr:col>2</xdr:col>
      <xdr:colOff>838200</xdr:colOff>
      <xdr:row>1</xdr:row>
      <xdr:rowOff>28575</xdr:rowOff>
    </xdr:to>
    <xdr:sp macro="" textlink="">
      <xdr:nvSpPr>
        <xdr:cNvPr id="10" name="文字方塊 9">
          <a:hlinkClick xmlns:r="http://schemas.openxmlformats.org/officeDocument/2006/relationships" r:id="rId5"/>
        </xdr:cNvPr>
        <xdr:cNvSpPr txBox="1"/>
      </xdr:nvSpPr>
      <xdr:spPr>
        <a:xfrm>
          <a:off x="3619500" y="571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7</xdr:col>
      <xdr:colOff>323850</xdr:colOff>
      <xdr:row>5</xdr:row>
      <xdr:rowOff>0</xdr:rowOff>
    </xdr:from>
    <xdr:to>
      <xdr:col>8</xdr:col>
      <xdr:colOff>511011</xdr:colOff>
      <xdr:row>22</xdr:row>
      <xdr:rowOff>10584</xdr:rowOff>
    </xdr:to>
    <xdr:pic>
      <xdr:nvPicPr>
        <xdr:cNvPr id="12" name="圖片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62975" y="990600"/>
          <a:ext cx="872961" cy="3763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9525</xdr:colOff>
      <xdr:row>3</xdr:row>
      <xdr:rowOff>209550</xdr:rowOff>
    </xdr:from>
    <xdr:to>
      <xdr:col>9</xdr:col>
      <xdr:colOff>295275</xdr:colOff>
      <xdr:row>5</xdr:row>
      <xdr:rowOff>6638</xdr:rowOff>
    </xdr:to>
    <xdr:sp macro="" textlink="">
      <xdr:nvSpPr>
        <xdr:cNvPr id="3" name="矩形 2"/>
        <xdr:cNvSpPr/>
      </xdr:nvSpPr>
      <xdr:spPr>
        <a:xfrm>
          <a:off x="8105775" y="704850"/>
          <a:ext cx="1657350" cy="292388"/>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北方山牆面破風強化</a:t>
          </a:r>
        </a:p>
      </xdr:txBody>
    </xdr:sp>
    <xdr:clientData/>
  </xdr:twoCellAnchor>
  <xdr:twoCellAnchor>
    <xdr:from>
      <xdr:col>7</xdr:col>
      <xdr:colOff>57150</xdr:colOff>
      <xdr:row>20</xdr:row>
      <xdr:rowOff>76200</xdr:rowOff>
    </xdr:from>
    <xdr:to>
      <xdr:col>9</xdr:col>
      <xdr:colOff>342900</xdr:colOff>
      <xdr:row>21</xdr:row>
      <xdr:rowOff>159038</xdr:rowOff>
    </xdr:to>
    <xdr:sp macro="" textlink="">
      <xdr:nvSpPr>
        <xdr:cNvPr id="4" name="矩形 3"/>
        <xdr:cNvSpPr/>
      </xdr:nvSpPr>
      <xdr:spPr>
        <a:xfrm>
          <a:off x="8296275" y="4400550"/>
          <a:ext cx="1657350" cy="292388"/>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南方山牆面破風強化</a:t>
          </a:r>
        </a:p>
      </xdr:txBody>
    </xdr:sp>
    <xdr:clientData/>
  </xdr:twoCellAnchor>
  <xdr:twoCellAnchor>
    <xdr:from>
      <xdr:col>7</xdr:col>
      <xdr:colOff>19051</xdr:colOff>
      <xdr:row>7</xdr:row>
      <xdr:rowOff>200025</xdr:rowOff>
    </xdr:from>
    <xdr:to>
      <xdr:col>7</xdr:col>
      <xdr:colOff>323851</xdr:colOff>
      <xdr:row>15</xdr:row>
      <xdr:rowOff>54501</xdr:rowOff>
    </xdr:to>
    <xdr:sp macro="" textlink="">
      <xdr:nvSpPr>
        <xdr:cNvPr id="5" name="矩形 4"/>
        <xdr:cNvSpPr/>
      </xdr:nvSpPr>
      <xdr:spPr>
        <a:xfrm>
          <a:off x="8258176" y="1438275"/>
          <a:ext cx="304800" cy="1892826"/>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zh-TW" altLang="en-US" sz="1200" b="1">
              <a:solidFill>
                <a:srgbClr val="0000FF"/>
              </a:solidFill>
              <a:latin typeface="Times New Roman" pitchFamily="18" charset="0"/>
              <a:ea typeface="標楷體" pitchFamily="65" charset="-120"/>
              <a:cs typeface="Times New Roman" pitchFamily="18" charset="0"/>
            </a:rPr>
            <a:t>西</a:t>
          </a:r>
          <a:endParaRPr lang="en-US" altLang="zh-TW" sz="1200" b="1">
            <a:solidFill>
              <a:srgbClr val="0000FF"/>
            </a:solidFill>
            <a:latin typeface="Times New Roman" pitchFamily="18" charset="0"/>
            <a:ea typeface="標楷體" pitchFamily="65" charset="-120"/>
            <a:cs typeface="Times New Roman" pitchFamily="18" charset="0"/>
          </a:endParaRPr>
        </a:p>
        <a:p>
          <a:r>
            <a:rPr lang="zh-TW" altLang="en-US" sz="1200" b="1">
              <a:solidFill>
                <a:srgbClr val="0000FF"/>
              </a:solidFill>
              <a:latin typeface="Times New Roman" pitchFamily="18" charset="0"/>
              <a:ea typeface="標楷體" pitchFamily="65" charset="-120"/>
              <a:cs typeface="Times New Roman" pitchFamily="18" charset="0"/>
            </a:rPr>
            <a:t>側力霸樑破風強化</a:t>
          </a:r>
        </a:p>
      </xdr:txBody>
    </xdr:sp>
    <xdr:clientData/>
  </xdr:twoCellAnchor>
  <xdr:twoCellAnchor editAs="oneCell">
    <xdr:from>
      <xdr:col>3</xdr:col>
      <xdr:colOff>171451</xdr:colOff>
      <xdr:row>10</xdr:row>
      <xdr:rowOff>6022</xdr:rowOff>
    </xdr:from>
    <xdr:to>
      <xdr:col>5</xdr:col>
      <xdr:colOff>457200</xdr:colOff>
      <xdr:row>18</xdr:row>
      <xdr:rowOff>3169</xdr:rowOff>
    </xdr:to>
    <xdr:pic>
      <xdr:nvPicPr>
        <xdr:cNvPr id="8"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19676" y="2234872"/>
          <a:ext cx="2162174" cy="167354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1181100</xdr:colOff>
      <xdr:row>10</xdr:row>
      <xdr:rowOff>85725</xdr:rowOff>
    </xdr:from>
    <xdr:to>
      <xdr:col>2</xdr:col>
      <xdr:colOff>1781175</xdr:colOff>
      <xdr:row>18</xdr:row>
      <xdr:rowOff>9525</xdr:rowOff>
    </xdr:to>
    <xdr:pic>
      <xdr:nvPicPr>
        <xdr:cNvPr id="9" name="圖片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2314575"/>
          <a:ext cx="2352675"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304801</xdr:colOff>
      <xdr:row>8</xdr:row>
      <xdr:rowOff>0</xdr:rowOff>
    </xdr:from>
    <xdr:to>
      <xdr:col>11</xdr:col>
      <xdr:colOff>438150</xdr:colOff>
      <xdr:row>17</xdr:row>
      <xdr:rowOff>106429</xdr:rowOff>
    </xdr:to>
    <xdr:pic>
      <xdr:nvPicPr>
        <xdr:cNvPr id="10" name="圖片 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15526" y="1636645"/>
          <a:ext cx="1504949" cy="2068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161925</xdr:colOff>
      <xdr:row>0</xdr:row>
      <xdr:rowOff>47625</xdr:rowOff>
    </xdr:from>
    <xdr:to>
      <xdr:col>1</xdr:col>
      <xdr:colOff>1438275</xdr:colOff>
      <xdr:row>1</xdr:row>
      <xdr:rowOff>38100</xdr:rowOff>
    </xdr:to>
    <xdr:sp macro="" textlink="">
      <xdr:nvSpPr>
        <xdr:cNvPr id="11" name="文字方塊 10">
          <a:hlinkClick xmlns:r="http://schemas.openxmlformats.org/officeDocument/2006/relationships" r:id="rId5"/>
        </xdr:cNvPr>
        <xdr:cNvSpPr txBox="1"/>
      </xdr:nvSpPr>
      <xdr:spPr>
        <a:xfrm>
          <a:off x="1914525" y="47625"/>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1</xdr:col>
      <xdr:colOff>1590675</xdr:colOff>
      <xdr:row>0</xdr:row>
      <xdr:rowOff>47625</xdr:rowOff>
    </xdr:from>
    <xdr:to>
      <xdr:col>2</xdr:col>
      <xdr:colOff>800100</xdr:colOff>
      <xdr:row>1</xdr:row>
      <xdr:rowOff>38100</xdr:rowOff>
    </xdr:to>
    <xdr:sp macro="" textlink="">
      <xdr:nvSpPr>
        <xdr:cNvPr id="13" name="文字方塊 12">
          <a:hlinkClick xmlns:r="http://schemas.openxmlformats.org/officeDocument/2006/relationships" r:id="rId6"/>
        </xdr:cNvPr>
        <xdr:cNvSpPr txBox="1"/>
      </xdr:nvSpPr>
      <xdr:spPr>
        <a:xfrm>
          <a:off x="3562350" y="47625"/>
          <a:ext cx="962025" cy="25717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2</xdr:col>
      <xdr:colOff>47625</xdr:colOff>
      <xdr:row>0</xdr:row>
      <xdr:rowOff>19050</xdr:rowOff>
    </xdr:from>
    <xdr:to>
      <xdr:col>2</xdr:col>
      <xdr:colOff>1390650</xdr:colOff>
      <xdr:row>0</xdr:row>
      <xdr:rowOff>257175</xdr:rowOff>
    </xdr:to>
    <xdr:sp macro="" textlink="">
      <xdr:nvSpPr>
        <xdr:cNvPr id="2" name="文字方塊 1">
          <a:hlinkClick xmlns:r="http://schemas.openxmlformats.org/officeDocument/2006/relationships" r:id="rId1"/>
        </xdr:cNvPr>
        <xdr:cNvSpPr txBox="1"/>
      </xdr:nvSpPr>
      <xdr:spPr>
        <a:xfrm>
          <a:off x="2486025" y="19050"/>
          <a:ext cx="13430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2</xdr:col>
      <xdr:colOff>1495425</xdr:colOff>
      <xdr:row>0</xdr:row>
      <xdr:rowOff>19050</xdr:rowOff>
    </xdr:from>
    <xdr:to>
      <xdr:col>2</xdr:col>
      <xdr:colOff>2562225</xdr:colOff>
      <xdr:row>0</xdr:row>
      <xdr:rowOff>257175</xdr:rowOff>
    </xdr:to>
    <xdr:sp macro="" textlink="">
      <xdr:nvSpPr>
        <xdr:cNvPr id="3" name="文字方塊 2">
          <a:hlinkClick xmlns:r="http://schemas.openxmlformats.org/officeDocument/2006/relationships" r:id="rId1"/>
        </xdr:cNvPr>
        <xdr:cNvSpPr txBox="1"/>
      </xdr:nvSpPr>
      <xdr:spPr>
        <a:xfrm>
          <a:off x="3933825" y="19050"/>
          <a:ext cx="1066800"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0</xdr:colOff>
      <xdr:row>0</xdr:row>
      <xdr:rowOff>28575</xdr:rowOff>
    </xdr:from>
    <xdr:to>
      <xdr:col>3</xdr:col>
      <xdr:colOff>457200</xdr:colOff>
      <xdr:row>1</xdr:row>
      <xdr:rowOff>0</xdr:rowOff>
    </xdr:to>
    <xdr:sp macro="" textlink="">
      <xdr:nvSpPr>
        <xdr:cNvPr id="2" name="文字方塊 1">
          <a:hlinkClick xmlns:r="http://schemas.openxmlformats.org/officeDocument/2006/relationships" r:id="rId1"/>
        </xdr:cNvPr>
        <xdr:cNvSpPr txBox="1"/>
      </xdr:nvSpPr>
      <xdr:spPr>
        <a:xfrm>
          <a:off x="2124075" y="28575"/>
          <a:ext cx="136207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495300</xdr:colOff>
      <xdr:row>0</xdr:row>
      <xdr:rowOff>19050</xdr:rowOff>
    </xdr:from>
    <xdr:to>
      <xdr:col>4</xdr:col>
      <xdr:colOff>552450</xdr:colOff>
      <xdr:row>0</xdr:row>
      <xdr:rowOff>257175</xdr:rowOff>
    </xdr:to>
    <xdr:sp macro="" textlink="">
      <xdr:nvSpPr>
        <xdr:cNvPr id="3" name="文字方塊 2">
          <a:hlinkClick xmlns:r="http://schemas.openxmlformats.org/officeDocument/2006/relationships" r:id="rId1"/>
        </xdr:cNvPr>
        <xdr:cNvSpPr txBox="1"/>
      </xdr:nvSpPr>
      <xdr:spPr>
        <a:xfrm>
          <a:off x="3524250"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38100</xdr:colOff>
      <xdr:row>0</xdr:row>
      <xdr:rowOff>19050</xdr:rowOff>
    </xdr:from>
    <xdr:to>
      <xdr:col>2</xdr:col>
      <xdr:colOff>1304925</xdr:colOff>
      <xdr:row>0</xdr:row>
      <xdr:rowOff>257175</xdr:rowOff>
    </xdr:to>
    <xdr:sp macro="" textlink="">
      <xdr:nvSpPr>
        <xdr:cNvPr id="2" name="文字方塊 1">
          <a:hlinkClick xmlns:r="http://schemas.openxmlformats.org/officeDocument/2006/relationships" r:id="rId1"/>
        </xdr:cNvPr>
        <xdr:cNvSpPr txBox="1"/>
      </xdr:nvSpPr>
      <xdr:spPr>
        <a:xfrm>
          <a:off x="2362200" y="19050"/>
          <a:ext cx="12668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47625</xdr:colOff>
      <xdr:row>0</xdr:row>
      <xdr:rowOff>28575</xdr:rowOff>
    </xdr:from>
    <xdr:to>
      <xdr:col>3</xdr:col>
      <xdr:colOff>1009650</xdr:colOff>
      <xdr:row>1</xdr:row>
      <xdr:rowOff>0</xdr:rowOff>
    </xdr:to>
    <xdr:sp macro="" textlink="">
      <xdr:nvSpPr>
        <xdr:cNvPr id="3" name="文字方塊 2">
          <a:hlinkClick xmlns:r="http://schemas.openxmlformats.org/officeDocument/2006/relationships" r:id="rId2"/>
        </xdr:cNvPr>
        <xdr:cNvSpPr txBox="1"/>
      </xdr:nvSpPr>
      <xdr:spPr>
        <a:xfrm>
          <a:off x="3829050"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7</xdr:col>
      <xdr:colOff>38100</xdr:colOff>
      <xdr:row>8</xdr:row>
      <xdr:rowOff>19050</xdr:rowOff>
    </xdr:from>
    <xdr:to>
      <xdr:col>9</xdr:col>
      <xdr:colOff>438150</xdr:colOff>
      <xdr:row>13</xdr:row>
      <xdr:rowOff>38100</xdr:rowOff>
    </xdr:to>
    <xdr:pic>
      <xdr:nvPicPr>
        <xdr:cNvPr id="5" name="圖片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86875" y="1771650"/>
          <a:ext cx="241935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25</xdr:row>
      <xdr:rowOff>19825</xdr:rowOff>
    </xdr:from>
    <xdr:to>
      <xdr:col>9</xdr:col>
      <xdr:colOff>590550</xdr:colOff>
      <xdr:row>34</xdr:row>
      <xdr:rowOff>28574</xdr:rowOff>
    </xdr:to>
    <xdr:pic>
      <xdr:nvPicPr>
        <xdr:cNvPr id="7" name="圖片 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96400" y="6211075"/>
          <a:ext cx="2562225" cy="2237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14</xdr:row>
      <xdr:rowOff>9525</xdr:rowOff>
    </xdr:from>
    <xdr:to>
      <xdr:col>9</xdr:col>
      <xdr:colOff>523874</xdr:colOff>
      <xdr:row>23</xdr:row>
      <xdr:rowOff>229391</xdr:rowOff>
    </xdr:to>
    <xdr:pic>
      <xdr:nvPicPr>
        <xdr:cNvPr id="8" name="圖片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96400" y="3476625"/>
          <a:ext cx="2495549" cy="24487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2</xdr:col>
      <xdr:colOff>38100</xdr:colOff>
      <xdr:row>0</xdr:row>
      <xdr:rowOff>19050</xdr:rowOff>
    </xdr:from>
    <xdr:to>
      <xdr:col>2</xdr:col>
      <xdr:colOff>1304925</xdr:colOff>
      <xdr:row>0</xdr:row>
      <xdr:rowOff>257175</xdr:rowOff>
    </xdr:to>
    <xdr:sp macro="" textlink="">
      <xdr:nvSpPr>
        <xdr:cNvPr id="6" name="文字方塊 5">
          <a:hlinkClick xmlns:r="http://schemas.openxmlformats.org/officeDocument/2006/relationships" r:id="rId1"/>
        </xdr:cNvPr>
        <xdr:cNvSpPr txBox="1"/>
      </xdr:nvSpPr>
      <xdr:spPr>
        <a:xfrm>
          <a:off x="2362200" y="19050"/>
          <a:ext cx="12668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47625</xdr:colOff>
      <xdr:row>0</xdr:row>
      <xdr:rowOff>28575</xdr:rowOff>
    </xdr:from>
    <xdr:to>
      <xdr:col>3</xdr:col>
      <xdr:colOff>1009650</xdr:colOff>
      <xdr:row>1</xdr:row>
      <xdr:rowOff>0</xdr:rowOff>
    </xdr:to>
    <xdr:sp macro="" textlink="">
      <xdr:nvSpPr>
        <xdr:cNvPr id="7" name="文字方塊 6">
          <a:hlinkClick xmlns:r="http://schemas.openxmlformats.org/officeDocument/2006/relationships" r:id="rId2"/>
        </xdr:cNvPr>
        <xdr:cNvSpPr txBox="1"/>
      </xdr:nvSpPr>
      <xdr:spPr>
        <a:xfrm>
          <a:off x="3829050"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7</xdr:col>
      <xdr:colOff>28574</xdr:colOff>
      <xdr:row>14</xdr:row>
      <xdr:rowOff>19050</xdr:rowOff>
    </xdr:from>
    <xdr:to>
      <xdr:col>10</xdr:col>
      <xdr:colOff>476249</xdr:colOff>
      <xdr:row>23</xdr:row>
      <xdr:rowOff>192455</xdr:rowOff>
    </xdr:to>
    <xdr:pic>
      <xdr:nvPicPr>
        <xdr:cNvPr id="9" name="圖片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77349" y="3486150"/>
          <a:ext cx="2505075" cy="2402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xdr:colOff>
      <xdr:row>8</xdr:row>
      <xdr:rowOff>19050</xdr:rowOff>
    </xdr:from>
    <xdr:to>
      <xdr:col>10</xdr:col>
      <xdr:colOff>400050</xdr:colOff>
      <xdr:row>13</xdr:row>
      <xdr:rowOff>38100</xdr:rowOff>
    </xdr:to>
    <xdr:pic>
      <xdr:nvPicPr>
        <xdr:cNvPr id="11" name="圖片 1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86875" y="1771650"/>
          <a:ext cx="241935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25</xdr:row>
      <xdr:rowOff>38100</xdr:rowOff>
    </xdr:from>
    <xdr:to>
      <xdr:col>10</xdr:col>
      <xdr:colOff>447675</xdr:colOff>
      <xdr:row>33</xdr:row>
      <xdr:rowOff>156542</xdr:rowOff>
    </xdr:to>
    <xdr:pic>
      <xdr:nvPicPr>
        <xdr:cNvPr id="12" name="圖片 1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77350" y="6229350"/>
          <a:ext cx="2476500" cy="2099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2</xdr:col>
      <xdr:colOff>38100</xdr:colOff>
      <xdr:row>0</xdr:row>
      <xdr:rowOff>19050</xdr:rowOff>
    </xdr:from>
    <xdr:to>
      <xdr:col>2</xdr:col>
      <xdr:colOff>1304925</xdr:colOff>
      <xdr:row>0</xdr:row>
      <xdr:rowOff>257175</xdr:rowOff>
    </xdr:to>
    <xdr:sp macro="" textlink="">
      <xdr:nvSpPr>
        <xdr:cNvPr id="2" name="文字方塊 1">
          <a:hlinkClick xmlns:r="http://schemas.openxmlformats.org/officeDocument/2006/relationships" r:id="rId1"/>
        </xdr:cNvPr>
        <xdr:cNvSpPr txBox="1"/>
      </xdr:nvSpPr>
      <xdr:spPr>
        <a:xfrm>
          <a:off x="2362200" y="19050"/>
          <a:ext cx="12668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47625</xdr:colOff>
      <xdr:row>0</xdr:row>
      <xdr:rowOff>28575</xdr:rowOff>
    </xdr:from>
    <xdr:to>
      <xdr:col>3</xdr:col>
      <xdr:colOff>1009650</xdr:colOff>
      <xdr:row>1</xdr:row>
      <xdr:rowOff>0</xdr:rowOff>
    </xdr:to>
    <xdr:sp macro="" textlink="">
      <xdr:nvSpPr>
        <xdr:cNvPr id="3" name="文字方塊 2">
          <a:hlinkClick xmlns:r="http://schemas.openxmlformats.org/officeDocument/2006/relationships" r:id="rId2"/>
        </xdr:cNvPr>
        <xdr:cNvSpPr txBox="1"/>
      </xdr:nvSpPr>
      <xdr:spPr>
        <a:xfrm>
          <a:off x="3829050"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7</xdr:col>
      <xdr:colOff>38100</xdr:colOff>
      <xdr:row>8</xdr:row>
      <xdr:rowOff>19050</xdr:rowOff>
    </xdr:from>
    <xdr:to>
      <xdr:col>10</xdr:col>
      <xdr:colOff>400050</xdr:colOff>
      <xdr:row>13</xdr:row>
      <xdr:rowOff>38100</xdr:rowOff>
    </xdr:to>
    <xdr:pic>
      <xdr:nvPicPr>
        <xdr:cNvPr id="5" name="圖片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86875" y="1771650"/>
          <a:ext cx="241935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14</xdr:row>
      <xdr:rowOff>47624</xdr:rowOff>
    </xdr:from>
    <xdr:to>
      <xdr:col>10</xdr:col>
      <xdr:colOff>361950</xdr:colOff>
      <xdr:row>23</xdr:row>
      <xdr:rowOff>89843</xdr:rowOff>
    </xdr:to>
    <xdr:pic>
      <xdr:nvPicPr>
        <xdr:cNvPr id="8" name="圖片 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96400" y="3514724"/>
          <a:ext cx="2371725" cy="22710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19051</xdr:colOff>
      <xdr:row>27</xdr:row>
      <xdr:rowOff>28575</xdr:rowOff>
    </xdr:from>
    <xdr:to>
      <xdr:col>10</xdr:col>
      <xdr:colOff>304801</xdr:colOff>
      <xdr:row>35</xdr:row>
      <xdr:rowOff>98956</xdr:rowOff>
    </xdr:to>
    <xdr:pic>
      <xdr:nvPicPr>
        <xdr:cNvPr id="9" name="圖片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67826" y="6219825"/>
          <a:ext cx="2343150" cy="2051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7</xdr:col>
      <xdr:colOff>85726</xdr:colOff>
      <xdr:row>22</xdr:row>
      <xdr:rowOff>15097</xdr:rowOff>
    </xdr:from>
    <xdr:to>
      <xdr:col>11</xdr:col>
      <xdr:colOff>495300</xdr:colOff>
      <xdr:row>29</xdr:row>
      <xdr:rowOff>157795</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62976" y="5234797"/>
          <a:ext cx="3343274" cy="187624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7</xdr:col>
      <xdr:colOff>85725</xdr:colOff>
      <xdr:row>29</xdr:row>
      <xdr:rowOff>38100</xdr:rowOff>
    </xdr:from>
    <xdr:to>
      <xdr:col>11</xdr:col>
      <xdr:colOff>485774</xdr:colOff>
      <xdr:row>36</xdr:row>
      <xdr:rowOff>65232</xdr:rowOff>
    </xdr:to>
    <xdr:pic>
      <xdr:nvPicPr>
        <xdr:cNvPr id="6"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62975" y="7124700"/>
          <a:ext cx="3333749" cy="176068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7</xdr:col>
      <xdr:colOff>133350</xdr:colOff>
      <xdr:row>14</xdr:row>
      <xdr:rowOff>19050</xdr:rowOff>
    </xdr:from>
    <xdr:to>
      <xdr:col>10</xdr:col>
      <xdr:colOff>150573</xdr:colOff>
      <xdr:row>22</xdr:row>
      <xdr:rowOff>38100</xdr:rowOff>
    </xdr:to>
    <xdr:pic>
      <xdr:nvPicPr>
        <xdr:cNvPr id="7"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10600" y="3105150"/>
          <a:ext cx="2265123" cy="20002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10</xdr:col>
      <xdr:colOff>438149</xdr:colOff>
      <xdr:row>14</xdr:row>
      <xdr:rowOff>100225</xdr:rowOff>
    </xdr:from>
    <xdr:to>
      <xdr:col>14</xdr:col>
      <xdr:colOff>476250</xdr:colOff>
      <xdr:row>22</xdr:row>
      <xdr:rowOff>28575</xdr:rowOff>
    </xdr:to>
    <xdr:pic>
      <xdr:nvPicPr>
        <xdr:cNvPr id="10" name="圖片 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972799" y="3186325"/>
          <a:ext cx="2781301" cy="19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38100</xdr:colOff>
      <xdr:row>0</xdr:row>
      <xdr:rowOff>19050</xdr:rowOff>
    </xdr:from>
    <xdr:to>
      <xdr:col>2</xdr:col>
      <xdr:colOff>1304925</xdr:colOff>
      <xdr:row>0</xdr:row>
      <xdr:rowOff>257175</xdr:rowOff>
    </xdr:to>
    <xdr:sp macro="" textlink="">
      <xdr:nvSpPr>
        <xdr:cNvPr id="8" name="文字方塊 7">
          <a:hlinkClick xmlns:r="http://schemas.openxmlformats.org/officeDocument/2006/relationships" r:id="rId5"/>
        </xdr:cNvPr>
        <xdr:cNvSpPr txBox="1"/>
      </xdr:nvSpPr>
      <xdr:spPr>
        <a:xfrm>
          <a:off x="2362200" y="19050"/>
          <a:ext cx="12668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47625</xdr:colOff>
      <xdr:row>0</xdr:row>
      <xdr:rowOff>28575</xdr:rowOff>
    </xdr:from>
    <xdr:to>
      <xdr:col>3</xdr:col>
      <xdr:colOff>1009650</xdr:colOff>
      <xdr:row>1</xdr:row>
      <xdr:rowOff>0</xdr:rowOff>
    </xdr:to>
    <xdr:sp macro="" textlink="">
      <xdr:nvSpPr>
        <xdr:cNvPr id="9" name="文字方塊 8">
          <a:hlinkClick xmlns:r="http://schemas.openxmlformats.org/officeDocument/2006/relationships" r:id="rId6"/>
        </xdr:cNvPr>
        <xdr:cNvSpPr txBox="1"/>
      </xdr:nvSpPr>
      <xdr:spPr>
        <a:xfrm>
          <a:off x="3724275"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xdr:col>
      <xdr:colOff>1</xdr:colOff>
      <xdr:row>0</xdr:row>
      <xdr:rowOff>28575</xdr:rowOff>
    </xdr:from>
    <xdr:to>
      <xdr:col>3</xdr:col>
      <xdr:colOff>47626</xdr:colOff>
      <xdr:row>1</xdr:row>
      <xdr:rowOff>0</xdr:rowOff>
    </xdr:to>
    <xdr:sp macro="" textlink="">
      <xdr:nvSpPr>
        <xdr:cNvPr id="2" name="文字方塊 1">
          <a:hlinkClick xmlns:r="http://schemas.openxmlformats.org/officeDocument/2006/relationships" r:id="rId1"/>
        </xdr:cNvPr>
        <xdr:cNvSpPr txBox="1"/>
      </xdr:nvSpPr>
      <xdr:spPr>
        <a:xfrm>
          <a:off x="2124076" y="28575"/>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114300</xdr:colOff>
      <xdr:row>0</xdr:row>
      <xdr:rowOff>28575</xdr:rowOff>
    </xdr:from>
    <xdr:to>
      <xdr:col>3</xdr:col>
      <xdr:colOff>1095375</xdr:colOff>
      <xdr:row>1</xdr:row>
      <xdr:rowOff>0</xdr:rowOff>
    </xdr:to>
    <xdr:sp macro="" textlink="">
      <xdr:nvSpPr>
        <xdr:cNvPr id="3" name="文字方塊 2">
          <a:hlinkClick xmlns:r="http://schemas.openxmlformats.org/officeDocument/2006/relationships" r:id="rId1"/>
        </xdr:cNvPr>
        <xdr:cNvSpPr txBox="1"/>
      </xdr:nvSpPr>
      <xdr:spPr>
        <a:xfrm>
          <a:off x="3467100" y="28575"/>
          <a:ext cx="98107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1</xdr:colOff>
      <xdr:row>0</xdr:row>
      <xdr:rowOff>20292</xdr:rowOff>
    </xdr:from>
    <xdr:to>
      <xdr:col>3</xdr:col>
      <xdr:colOff>180976</xdr:colOff>
      <xdr:row>0</xdr:row>
      <xdr:rowOff>256760</xdr:rowOff>
    </xdr:to>
    <xdr:sp macro="" textlink="">
      <xdr:nvSpPr>
        <xdr:cNvPr id="2" name="文字方塊 1">
          <a:hlinkClick xmlns:r="http://schemas.openxmlformats.org/officeDocument/2006/relationships" r:id="rId1"/>
        </xdr:cNvPr>
        <xdr:cNvSpPr txBox="1"/>
      </xdr:nvSpPr>
      <xdr:spPr>
        <a:xfrm>
          <a:off x="2054088" y="20292"/>
          <a:ext cx="1299127" cy="236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255517</xdr:colOff>
      <xdr:row>0</xdr:row>
      <xdr:rowOff>19051</xdr:rowOff>
    </xdr:from>
    <xdr:to>
      <xdr:col>3</xdr:col>
      <xdr:colOff>1184412</xdr:colOff>
      <xdr:row>0</xdr:row>
      <xdr:rowOff>257176</xdr:rowOff>
    </xdr:to>
    <xdr:sp macro="" textlink="">
      <xdr:nvSpPr>
        <xdr:cNvPr id="3" name="文字方塊 2">
          <a:hlinkClick xmlns:r="http://schemas.openxmlformats.org/officeDocument/2006/relationships" r:id="rId1"/>
        </xdr:cNvPr>
        <xdr:cNvSpPr txBox="1"/>
      </xdr:nvSpPr>
      <xdr:spPr>
        <a:xfrm>
          <a:off x="3427756" y="19051"/>
          <a:ext cx="92889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38101</xdr:colOff>
      <xdr:row>3</xdr:row>
      <xdr:rowOff>95249</xdr:rowOff>
    </xdr:from>
    <xdr:to>
      <xdr:col>0</xdr:col>
      <xdr:colOff>513493</xdr:colOff>
      <xdr:row>6</xdr:row>
      <xdr:rowOff>210038</xdr:rowOff>
    </xdr:to>
    <xdr:pic>
      <xdr:nvPicPr>
        <xdr:cNvPr id="2"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191173" y="1105573"/>
          <a:ext cx="933939" cy="47539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0</xdr:col>
      <xdr:colOff>47625</xdr:colOff>
      <xdr:row>10</xdr:row>
      <xdr:rowOff>76200</xdr:rowOff>
    </xdr:from>
    <xdr:to>
      <xdr:col>0</xdr:col>
      <xdr:colOff>519694</xdr:colOff>
      <xdr:row>12</xdr:row>
      <xdr:rowOff>9525</xdr:rowOff>
    </xdr:to>
    <xdr:pic>
      <xdr:nvPicPr>
        <xdr:cNvPr id="3"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625" y="2724150"/>
          <a:ext cx="472069" cy="4667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0</xdr:col>
      <xdr:colOff>38100</xdr:colOff>
      <xdr:row>28</xdr:row>
      <xdr:rowOff>114300</xdr:rowOff>
    </xdr:from>
    <xdr:to>
      <xdr:col>0</xdr:col>
      <xdr:colOff>517043</xdr:colOff>
      <xdr:row>31</xdr:row>
      <xdr:rowOff>124136</xdr:rowOff>
    </xdr:to>
    <xdr:pic>
      <xdr:nvPicPr>
        <xdr:cNvPr id="4"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100" y="7296150"/>
          <a:ext cx="478943" cy="79088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xdr:col>
      <xdr:colOff>9525</xdr:colOff>
      <xdr:row>0</xdr:row>
      <xdr:rowOff>19050</xdr:rowOff>
    </xdr:from>
    <xdr:to>
      <xdr:col>4</xdr:col>
      <xdr:colOff>57150</xdr:colOff>
      <xdr:row>0</xdr:row>
      <xdr:rowOff>257175</xdr:rowOff>
    </xdr:to>
    <xdr:sp macro="" textlink="">
      <xdr:nvSpPr>
        <xdr:cNvPr id="5" name="文字方塊 4">
          <a:hlinkClick xmlns:r="http://schemas.openxmlformats.org/officeDocument/2006/relationships" r:id="rId4"/>
        </xdr:cNvPr>
        <xdr:cNvSpPr txBox="1"/>
      </xdr:nvSpPr>
      <xdr:spPr>
        <a:xfrm>
          <a:off x="1657350" y="19050"/>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4</xdr:col>
      <xdr:colOff>85725</xdr:colOff>
      <xdr:row>0</xdr:row>
      <xdr:rowOff>19050</xdr:rowOff>
    </xdr:from>
    <xdr:to>
      <xdr:col>5</xdr:col>
      <xdr:colOff>142875</xdr:colOff>
      <xdr:row>0</xdr:row>
      <xdr:rowOff>257175</xdr:rowOff>
    </xdr:to>
    <xdr:sp macro="" textlink="">
      <xdr:nvSpPr>
        <xdr:cNvPr id="6" name="文字方塊 5">
          <a:hlinkClick xmlns:r="http://schemas.openxmlformats.org/officeDocument/2006/relationships" r:id="rId4"/>
        </xdr:cNvPr>
        <xdr:cNvSpPr txBox="1"/>
      </xdr:nvSpPr>
      <xdr:spPr>
        <a:xfrm>
          <a:off x="2962275" y="19050"/>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0</xdr:col>
      <xdr:colOff>95251</xdr:colOff>
      <xdr:row>23</xdr:row>
      <xdr:rowOff>57150</xdr:rowOff>
    </xdr:from>
    <xdr:to>
      <xdr:col>0</xdr:col>
      <xdr:colOff>457200</xdr:colOff>
      <xdr:row>25</xdr:row>
      <xdr:rowOff>220331</xdr:rowOff>
    </xdr:to>
    <xdr:pic>
      <xdr:nvPicPr>
        <xdr:cNvPr id="7" name="圖片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5251" y="5962650"/>
          <a:ext cx="361949" cy="696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419100</xdr:colOff>
      <xdr:row>0</xdr:row>
      <xdr:rowOff>28575</xdr:rowOff>
    </xdr:from>
    <xdr:to>
      <xdr:col>13</xdr:col>
      <xdr:colOff>57150</xdr:colOff>
      <xdr:row>1</xdr:row>
      <xdr:rowOff>0</xdr:rowOff>
    </xdr:to>
    <xdr:sp macro="" textlink="">
      <xdr:nvSpPr>
        <xdr:cNvPr id="8" name="文字方塊 7">
          <a:hlinkClick xmlns:r="http://schemas.openxmlformats.org/officeDocument/2006/relationships" r:id="rId6"/>
        </xdr:cNvPr>
        <xdr:cNvSpPr txBox="1"/>
      </xdr:nvSpPr>
      <xdr:spPr>
        <a:xfrm>
          <a:off x="10582275" y="28575"/>
          <a:ext cx="1724025" cy="23812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回圓頂力霸型溫室</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8</xdr:col>
      <xdr:colOff>19050</xdr:colOff>
      <xdr:row>0</xdr:row>
      <xdr:rowOff>19050</xdr:rowOff>
    </xdr:from>
    <xdr:to>
      <xdr:col>9</xdr:col>
      <xdr:colOff>561975</xdr:colOff>
      <xdr:row>0</xdr:row>
      <xdr:rowOff>257175</xdr:rowOff>
    </xdr:to>
    <xdr:sp macro="" textlink="">
      <xdr:nvSpPr>
        <xdr:cNvPr id="9" name="文字方塊 8">
          <a:hlinkClick xmlns:r="http://schemas.openxmlformats.org/officeDocument/2006/relationships" r:id="rId7"/>
        </xdr:cNvPr>
        <xdr:cNvSpPr txBox="1"/>
      </xdr:nvSpPr>
      <xdr:spPr>
        <a:xfrm>
          <a:off x="6315075" y="19050"/>
          <a:ext cx="1724025" cy="23812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a:t>
          </a:r>
          <a:r>
            <a:rPr lang="en-US" altLang="zh-TW" sz="1400" b="1">
              <a:solidFill>
                <a:srgbClr val="FF0000"/>
              </a:solidFill>
              <a:latin typeface="Times New Roman" pitchFamily="18" charset="0"/>
              <a:ea typeface="標楷體" pitchFamily="65" charset="-120"/>
              <a:cs typeface="Times New Roman" pitchFamily="18" charset="0"/>
            </a:rPr>
            <a:t>B</a:t>
          </a:r>
          <a:r>
            <a:rPr lang="zh-TW" altLang="en-US" sz="1400" b="1">
              <a:solidFill>
                <a:srgbClr val="FF0000"/>
              </a:solidFill>
              <a:latin typeface="標楷體" pitchFamily="65" charset="-120"/>
              <a:ea typeface="標楷體" pitchFamily="65" charset="-120"/>
            </a:rPr>
            <a:t>型簡易型溫室</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9</xdr:col>
      <xdr:colOff>638174</xdr:colOff>
      <xdr:row>0</xdr:row>
      <xdr:rowOff>28575</xdr:rowOff>
    </xdr:from>
    <xdr:to>
      <xdr:col>11</xdr:col>
      <xdr:colOff>361950</xdr:colOff>
      <xdr:row>1</xdr:row>
      <xdr:rowOff>0</xdr:rowOff>
    </xdr:to>
    <xdr:sp macro="" textlink="">
      <xdr:nvSpPr>
        <xdr:cNvPr id="10" name="文字方塊 9">
          <a:hlinkClick xmlns:r="http://schemas.openxmlformats.org/officeDocument/2006/relationships" r:id="rId8"/>
        </xdr:cNvPr>
        <xdr:cNvSpPr txBox="1"/>
      </xdr:nvSpPr>
      <xdr:spPr>
        <a:xfrm>
          <a:off x="8667749" y="28575"/>
          <a:ext cx="1638301" cy="23812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a:t>
          </a:r>
          <a:r>
            <a:rPr lang="en-US" altLang="zh-TW" sz="1400" b="1">
              <a:solidFill>
                <a:srgbClr val="FF0000"/>
              </a:solidFill>
              <a:latin typeface="Times New Roman" pitchFamily="18" charset="0"/>
              <a:ea typeface="標楷體" pitchFamily="65" charset="-120"/>
              <a:cs typeface="Times New Roman" pitchFamily="18" charset="0"/>
            </a:rPr>
            <a:t>C</a:t>
          </a:r>
          <a:r>
            <a:rPr lang="zh-TW" altLang="en-US" sz="1400" b="1">
              <a:solidFill>
                <a:srgbClr val="FF0000"/>
              </a:solidFill>
              <a:latin typeface="標楷體" pitchFamily="65" charset="-120"/>
              <a:ea typeface="標楷體" pitchFamily="65" charset="-120"/>
            </a:rPr>
            <a:t>型簡易型溫室</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6</xdr:col>
      <xdr:colOff>9525</xdr:colOff>
      <xdr:row>0</xdr:row>
      <xdr:rowOff>19050</xdr:rowOff>
    </xdr:from>
    <xdr:to>
      <xdr:col>7</xdr:col>
      <xdr:colOff>971550</xdr:colOff>
      <xdr:row>0</xdr:row>
      <xdr:rowOff>257175</xdr:rowOff>
    </xdr:to>
    <xdr:sp macro="" textlink="">
      <xdr:nvSpPr>
        <xdr:cNvPr id="11" name="文字方塊 10">
          <a:hlinkClick xmlns:r="http://schemas.openxmlformats.org/officeDocument/2006/relationships" r:id="rId9"/>
        </xdr:cNvPr>
        <xdr:cNvSpPr txBox="1"/>
      </xdr:nvSpPr>
      <xdr:spPr>
        <a:xfrm>
          <a:off x="5105400" y="19050"/>
          <a:ext cx="1724025" cy="23812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a:t>
          </a:r>
          <a:r>
            <a:rPr lang="en-US" altLang="zh-TW" sz="1400" b="1">
              <a:solidFill>
                <a:srgbClr val="FF0000"/>
              </a:solidFill>
              <a:latin typeface="Times New Roman" pitchFamily="18" charset="0"/>
              <a:ea typeface="標楷體" pitchFamily="65" charset="-120"/>
              <a:cs typeface="Times New Roman" pitchFamily="18" charset="0"/>
            </a:rPr>
            <a:t>A</a:t>
          </a:r>
          <a:r>
            <a:rPr lang="zh-TW" altLang="en-US" sz="1400" b="1">
              <a:solidFill>
                <a:srgbClr val="FF0000"/>
              </a:solidFill>
              <a:latin typeface="標楷體" pitchFamily="65" charset="-120"/>
              <a:ea typeface="標楷體" pitchFamily="65" charset="-120"/>
            </a:rPr>
            <a:t>型簡易型溫室</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2</xdr:col>
      <xdr:colOff>0</xdr:colOff>
      <xdr:row>0</xdr:row>
      <xdr:rowOff>28575</xdr:rowOff>
    </xdr:from>
    <xdr:to>
      <xdr:col>3</xdr:col>
      <xdr:colOff>400049</xdr:colOff>
      <xdr:row>1</xdr:row>
      <xdr:rowOff>0</xdr:rowOff>
    </xdr:to>
    <xdr:sp macro="" textlink="">
      <xdr:nvSpPr>
        <xdr:cNvPr id="2" name="文字方塊 1">
          <a:hlinkClick xmlns:r="http://schemas.openxmlformats.org/officeDocument/2006/relationships" r:id="rId1"/>
        </xdr:cNvPr>
        <xdr:cNvSpPr txBox="1"/>
      </xdr:nvSpPr>
      <xdr:spPr>
        <a:xfrm flipH="1">
          <a:off x="1695450" y="28575"/>
          <a:ext cx="1304924"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495300</xdr:colOff>
      <xdr:row>0</xdr:row>
      <xdr:rowOff>19050</xdr:rowOff>
    </xdr:from>
    <xdr:to>
      <xdr:col>4</xdr:col>
      <xdr:colOff>571500</xdr:colOff>
      <xdr:row>0</xdr:row>
      <xdr:rowOff>257175</xdr:rowOff>
    </xdr:to>
    <xdr:sp macro="" textlink="">
      <xdr:nvSpPr>
        <xdr:cNvPr id="3" name="文字方塊 2">
          <a:hlinkClick xmlns:r="http://schemas.openxmlformats.org/officeDocument/2006/relationships" r:id="rId1"/>
        </xdr:cNvPr>
        <xdr:cNvSpPr txBox="1"/>
      </xdr:nvSpPr>
      <xdr:spPr>
        <a:xfrm>
          <a:off x="3095625" y="19050"/>
          <a:ext cx="98107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1</xdr:colOff>
      <xdr:row>0</xdr:row>
      <xdr:rowOff>28575</xdr:rowOff>
    </xdr:from>
    <xdr:to>
      <xdr:col>3</xdr:col>
      <xdr:colOff>47626</xdr:colOff>
      <xdr:row>1</xdr:row>
      <xdr:rowOff>0</xdr:rowOff>
    </xdr:to>
    <xdr:sp macro="" textlink="">
      <xdr:nvSpPr>
        <xdr:cNvPr id="2" name="文字方塊 1">
          <a:hlinkClick xmlns:r="http://schemas.openxmlformats.org/officeDocument/2006/relationships" r:id="rId1"/>
        </xdr:cNvPr>
        <xdr:cNvSpPr txBox="1"/>
      </xdr:nvSpPr>
      <xdr:spPr>
        <a:xfrm>
          <a:off x="2124076" y="28575"/>
          <a:ext cx="1276350"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114300</xdr:colOff>
      <xdr:row>0</xdr:row>
      <xdr:rowOff>28575</xdr:rowOff>
    </xdr:from>
    <xdr:to>
      <xdr:col>3</xdr:col>
      <xdr:colOff>1095375</xdr:colOff>
      <xdr:row>1</xdr:row>
      <xdr:rowOff>0</xdr:rowOff>
    </xdr:to>
    <xdr:sp macro="" textlink="">
      <xdr:nvSpPr>
        <xdr:cNvPr id="3" name="文字方塊 2">
          <a:hlinkClick xmlns:r="http://schemas.openxmlformats.org/officeDocument/2006/relationships" r:id="rId1"/>
        </xdr:cNvPr>
        <xdr:cNvSpPr txBox="1"/>
      </xdr:nvSpPr>
      <xdr:spPr>
        <a:xfrm>
          <a:off x="3467100" y="28575"/>
          <a:ext cx="98107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1</xdr:col>
      <xdr:colOff>1866900</xdr:colOff>
      <xdr:row>2</xdr:row>
      <xdr:rowOff>0</xdr:rowOff>
    </xdr:from>
    <xdr:to>
      <xdr:col>7</xdr:col>
      <xdr:colOff>419100</xdr:colOff>
      <xdr:row>31</xdr:row>
      <xdr:rowOff>190500</xdr:rowOff>
    </xdr:to>
    <xdr:pic>
      <xdr:nvPicPr>
        <xdr:cNvPr id="5" name="圖片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7475" y="523875"/>
          <a:ext cx="5495925" cy="627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2</xdr:col>
      <xdr:colOff>38100</xdr:colOff>
      <xdr:row>0</xdr:row>
      <xdr:rowOff>19050</xdr:rowOff>
    </xdr:from>
    <xdr:to>
      <xdr:col>2</xdr:col>
      <xdr:colOff>1304925</xdr:colOff>
      <xdr:row>0</xdr:row>
      <xdr:rowOff>257175</xdr:rowOff>
    </xdr:to>
    <xdr:sp macro="" textlink="">
      <xdr:nvSpPr>
        <xdr:cNvPr id="2" name="文字方塊 1">
          <a:hlinkClick xmlns:r="http://schemas.openxmlformats.org/officeDocument/2006/relationships" r:id="rId1"/>
        </xdr:cNvPr>
        <xdr:cNvSpPr txBox="1"/>
      </xdr:nvSpPr>
      <xdr:spPr>
        <a:xfrm>
          <a:off x="2505075" y="19050"/>
          <a:ext cx="12668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47625</xdr:colOff>
      <xdr:row>0</xdr:row>
      <xdr:rowOff>28575</xdr:rowOff>
    </xdr:from>
    <xdr:to>
      <xdr:col>3</xdr:col>
      <xdr:colOff>1009650</xdr:colOff>
      <xdr:row>1</xdr:row>
      <xdr:rowOff>0</xdr:rowOff>
    </xdr:to>
    <xdr:sp macro="" textlink="">
      <xdr:nvSpPr>
        <xdr:cNvPr id="3" name="文字方塊 2">
          <a:hlinkClick xmlns:r="http://schemas.openxmlformats.org/officeDocument/2006/relationships" r:id="rId2"/>
        </xdr:cNvPr>
        <xdr:cNvSpPr txBox="1"/>
      </xdr:nvSpPr>
      <xdr:spPr>
        <a:xfrm>
          <a:off x="4048125"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2</xdr:col>
      <xdr:colOff>38100</xdr:colOff>
      <xdr:row>0</xdr:row>
      <xdr:rowOff>19050</xdr:rowOff>
    </xdr:from>
    <xdr:to>
      <xdr:col>2</xdr:col>
      <xdr:colOff>1304925</xdr:colOff>
      <xdr:row>0</xdr:row>
      <xdr:rowOff>257175</xdr:rowOff>
    </xdr:to>
    <xdr:sp macro="" textlink="">
      <xdr:nvSpPr>
        <xdr:cNvPr id="2" name="文字方塊 1">
          <a:hlinkClick xmlns:r="http://schemas.openxmlformats.org/officeDocument/2006/relationships" r:id="rId1"/>
        </xdr:cNvPr>
        <xdr:cNvSpPr txBox="1"/>
      </xdr:nvSpPr>
      <xdr:spPr>
        <a:xfrm>
          <a:off x="2362200" y="19050"/>
          <a:ext cx="12668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47625</xdr:colOff>
      <xdr:row>0</xdr:row>
      <xdr:rowOff>28575</xdr:rowOff>
    </xdr:from>
    <xdr:to>
      <xdr:col>3</xdr:col>
      <xdr:colOff>1009650</xdr:colOff>
      <xdr:row>1</xdr:row>
      <xdr:rowOff>0</xdr:rowOff>
    </xdr:to>
    <xdr:sp macro="" textlink="">
      <xdr:nvSpPr>
        <xdr:cNvPr id="3" name="文字方塊 2">
          <a:hlinkClick xmlns:r="http://schemas.openxmlformats.org/officeDocument/2006/relationships" r:id="rId2"/>
        </xdr:cNvPr>
        <xdr:cNvSpPr txBox="1"/>
      </xdr:nvSpPr>
      <xdr:spPr>
        <a:xfrm>
          <a:off x="3829050"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38100</xdr:colOff>
      <xdr:row>0</xdr:row>
      <xdr:rowOff>19050</xdr:rowOff>
    </xdr:from>
    <xdr:to>
      <xdr:col>2</xdr:col>
      <xdr:colOff>1304925</xdr:colOff>
      <xdr:row>0</xdr:row>
      <xdr:rowOff>257175</xdr:rowOff>
    </xdr:to>
    <xdr:sp macro="" textlink="">
      <xdr:nvSpPr>
        <xdr:cNvPr id="2" name="文字方塊 1">
          <a:hlinkClick xmlns:r="http://schemas.openxmlformats.org/officeDocument/2006/relationships" r:id="rId1"/>
        </xdr:cNvPr>
        <xdr:cNvSpPr txBox="1"/>
      </xdr:nvSpPr>
      <xdr:spPr>
        <a:xfrm>
          <a:off x="2505075" y="19050"/>
          <a:ext cx="1266825" cy="23812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47625</xdr:colOff>
      <xdr:row>0</xdr:row>
      <xdr:rowOff>28575</xdr:rowOff>
    </xdr:from>
    <xdr:to>
      <xdr:col>3</xdr:col>
      <xdr:colOff>1009650</xdr:colOff>
      <xdr:row>1</xdr:row>
      <xdr:rowOff>0</xdr:rowOff>
    </xdr:to>
    <xdr:sp macro="" textlink="">
      <xdr:nvSpPr>
        <xdr:cNvPr id="3" name="文字方塊 2">
          <a:hlinkClick xmlns:r="http://schemas.openxmlformats.org/officeDocument/2006/relationships" r:id="rId2"/>
        </xdr:cNvPr>
        <xdr:cNvSpPr txBox="1"/>
      </xdr:nvSpPr>
      <xdr:spPr>
        <a:xfrm>
          <a:off x="4048125" y="28575"/>
          <a:ext cx="96202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2</xdr:col>
      <xdr:colOff>1</xdr:colOff>
      <xdr:row>0</xdr:row>
      <xdr:rowOff>20292</xdr:rowOff>
    </xdr:from>
    <xdr:to>
      <xdr:col>3</xdr:col>
      <xdr:colOff>180976</xdr:colOff>
      <xdr:row>0</xdr:row>
      <xdr:rowOff>256760</xdr:rowOff>
    </xdr:to>
    <xdr:sp macro="" textlink="">
      <xdr:nvSpPr>
        <xdr:cNvPr id="2" name="文字方塊 1">
          <a:hlinkClick xmlns:r="http://schemas.openxmlformats.org/officeDocument/2006/relationships" r:id="rId1"/>
        </xdr:cNvPr>
        <xdr:cNvSpPr txBox="1"/>
      </xdr:nvSpPr>
      <xdr:spPr>
        <a:xfrm>
          <a:off x="2133601" y="20292"/>
          <a:ext cx="1295400" cy="236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255517</xdr:colOff>
      <xdr:row>0</xdr:row>
      <xdr:rowOff>19051</xdr:rowOff>
    </xdr:from>
    <xdr:to>
      <xdr:col>3</xdr:col>
      <xdr:colOff>1184412</xdr:colOff>
      <xdr:row>0</xdr:row>
      <xdr:rowOff>257176</xdr:rowOff>
    </xdr:to>
    <xdr:sp macro="" textlink="">
      <xdr:nvSpPr>
        <xdr:cNvPr id="3" name="文字方塊 2">
          <a:hlinkClick xmlns:r="http://schemas.openxmlformats.org/officeDocument/2006/relationships" r:id="rId2"/>
        </xdr:cNvPr>
        <xdr:cNvSpPr txBox="1"/>
      </xdr:nvSpPr>
      <xdr:spPr>
        <a:xfrm>
          <a:off x="3503542" y="19051"/>
          <a:ext cx="92889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1</xdr:col>
      <xdr:colOff>24849</xdr:colOff>
      <xdr:row>1</xdr:row>
      <xdr:rowOff>8285</xdr:rowOff>
    </xdr:from>
    <xdr:to>
      <xdr:col>1</xdr:col>
      <xdr:colOff>919371</xdr:colOff>
      <xdr:row>25</xdr:row>
      <xdr:rowOff>66263</xdr:rowOff>
    </xdr:to>
    <xdr:pic>
      <xdr:nvPicPr>
        <xdr:cNvPr id="5" name="圖片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8371" y="273328"/>
          <a:ext cx="894522" cy="5085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2</xdr:col>
      <xdr:colOff>1</xdr:colOff>
      <xdr:row>0</xdr:row>
      <xdr:rowOff>20292</xdr:rowOff>
    </xdr:from>
    <xdr:to>
      <xdr:col>3</xdr:col>
      <xdr:colOff>180976</xdr:colOff>
      <xdr:row>0</xdr:row>
      <xdr:rowOff>256760</xdr:rowOff>
    </xdr:to>
    <xdr:sp macro="" textlink="">
      <xdr:nvSpPr>
        <xdr:cNvPr id="2" name="文字方塊 1">
          <a:hlinkClick xmlns:r="http://schemas.openxmlformats.org/officeDocument/2006/relationships" r:id="rId1"/>
        </xdr:cNvPr>
        <xdr:cNvSpPr txBox="1"/>
      </xdr:nvSpPr>
      <xdr:spPr>
        <a:xfrm>
          <a:off x="2133601" y="20292"/>
          <a:ext cx="1295400" cy="236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255517</xdr:colOff>
      <xdr:row>0</xdr:row>
      <xdr:rowOff>19051</xdr:rowOff>
    </xdr:from>
    <xdr:to>
      <xdr:col>3</xdr:col>
      <xdr:colOff>1184412</xdr:colOff>
      <xdr:row>0</xdr:row>
      <xdr:rowOff>257176</xdr:rowOff>
    </xdr:to>
    <xdr:sp macro="" textlink="">
      <xdr:nvSpPr>
        <xdr:cNvPr id="3" name="文字方塊 2">
          <a:hlinkClick xmlns:r="http://schemas.openxmlformats.org/officeDocument/2006/relationships" r:id="rId2"/>
        </xdr:cNvPr>
        <xdr:cNvSpPr txBox="1"/>
      </xdr:nvSpPr>
      <xdr:spPr>
        <a:xfrm>
          <a:off x="3503542" y="19051"/>
          <a:ext cx="92889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0</xdr:col>
      <xdr:colOff>41413</xdr:colOff>
      <xdr:row>1</xdr:row>
      <xdr:rowOff>33132</xdr:rowOff>
    </xdr:from>
    <xdr:to>
      <xdr:col>3</xdr:col>
      <xdr:colOff>1051063</xdr:colOff>
      <xdr:row>29</xdr:row>
      <xdr:rowOff>74544</xdr:rowOff>
    </xdr:to>
    <xdr:pic>
      <xdr:nvPicPr>
        <xdr:cNvPr id="5" name="圖片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413" y="298175"/>
          <a:ext cx="4264715" cy="589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2</xdr:col>
      <xdr:colOff>1</xdr:colOff>
      <xdr:row>0</xdr:row>
      <xdr:rowOff>20292</xdr:rowOff>
    </xdr:from>
    <xdr:to>
      <xdr:col>3</xdr:col>
      <xdr:colOff>180976</xdr:colOff>
      <xdr:row>0</xdr:row>
      <xdr:rowOff>256760</xdr:rowOff>
    </xdr:to>
    <xdr:sp macro="" textlink="">
      <xdr:nvSpPr>
        <xdr:cNvPr id="2" name="文字方塊 1">
          <a:hlinkClick xmlns:r="http://schemas.openxmlformats.org/officeDocument/2006/relationships" r:id="rId1"/>
        </xdr:cNvPr>
        <xdr:cNvSpPr txBox="1"/>
      </xdr:nvSpPr>
      <xdr:spPr>
        <a:xfrm>
          <a:off x="2057401" y="20292"/>
          <a:ext cx="1295400" cy="236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255517</xdr:colOff>
      <xdr:row>0</xdr:row>
      <xdr:rowOff>19051</xdr:rowOff>
    </xdr:from>
    <xdr:to>
      <xdr:col>3</xdr:col>
      <xdr:colOff>1184412</xdr:colOff>
      <xdr:row>0</xdr:row>
      <xdr:rowOff>257176</xdr:rowOff>
    </xdr:to>
    <xdr:sp macro="" textlink="">
      <xdr:nvSpPr>
        <xdr:cNvPr id="3" name="文字方塊 2">
          <a:hlinkClick xmlns:r="http://schemas.openxmlformats.org/officeDocument/2006/relationships" r:id="rId2"/>
        </xdr:cNvPr>
        <xdr:cNvSpPr txBox="1"/>
      </xdr:nvSpPr>
      <xdr:spPr>
        <a:xfrm>
          <a:off x="3427342" y="19051"/>
          <a:ext cx="92889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0</xdr:col>
      <xdr:colOff>8283</xdr:colOff>
      <xdr:row>1</xdr:row>
      <xdr:rowOff>24849</xdr:rowOff>
    </xdr:from>
    <xdr:to>
      <xdr:col>6</xdr:col>
      <xdr:colOff>449332</xdr:colOff>
      <xdr:row>21</xdr:row>
      <xdr:rowOff>130452</xdr:rowOff>
    </xdr:to>
    <xdr:pic>
      <xdr:nvPicPr>
        <xdr:cNvPr id="4" name="圖片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83" y="289892"/>
          <a:ext cx="6686136" cy="4304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2</xdr:col>
      <xdr:colOff>1</xdr:colOff>
      <xdr:row>0</xdr:row>
      <xdr:rowOff>20292</xdr:rowOff>
    </xdr:from>
    <xdr:to>
      <xdr:col>3</xdr:col>
      <xdr:colOff>180976</xdr:colOff>
      <xdr:row>0</xdr:row>
      <xdr:rowOff>256760</xdr:rowOff>
    </xdr:to>
    <xdr:sp macro="" textlink="">
      <xdr:nvSpPr>
        <xdr:cNvPr id="2" name="文字方塊 1">
          <a:hlinkClick xmlns:r="http://schemas.openxmlformats.org/officeDocument/2006/relationships" r:id="rId1"/>
        </xdr:cNvPr>
        <xdr:cNvSpPr txBox="1"/>
      </xdr:nvSpPr>
      <xdr:spPr>
        <a:xfrm>
          <a:off x="2057401" y="20292"/>
          <a:ext cx="1295400" cy="236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回總體規劃表</a:t>
          </a:r>
          <a:endParaRPr lang="en-US" altLang="zh-TW" sz="1400" b="1">
            <a:solidFill>
              <a:srgbClr val="FF0000"/>
            </a:solidFill>
            <a:latin typeface="標楷體" pitchFamily="65" charset="-120"/>
            <a:ea typeface="標楷體" pitchFamily="65" charset="-120"/>
          </a:endParaRPr>
        </a:p>
      </xdr:txBody>
    </xdr:sp>
    <xdr:clientData/>
  </xdr:twoCellAnchor>
  <xdr:twoCellAnchor>
    <xdr:from>
      <xdr:col>3</xdr:col>
      <xdr:colOff>255517</xdr:colOff>
      <xdr:row>0</xdr:row>
      <xdr:rowOff>19051</xdr:rowOff>
    </xdr:from>
    <xdr:to>
      <xdr:col>3</xdr:col>
      <xdr:colOff>1184412</xdr:colOff>
      <xdr:row>0</xdr:row>
      <xdr:rowOff>257176</xdr:rowOff>
    </xdr:to>
    <xdr:sp macro="" textlink="">
      <xdr:nvSpPr>
        <xdr:cNvPr id="3" name="文字方塊 2">
          <a:hlinkClick xmlns:r="http://schemas.openxmlformats.org/officeDocument/2006/relationships" r:id="rId2"/>
        </xdr:cNvPr>
        <xdr:cNvSpPr txBox="1"/>
      </xdr:nvSpPr>
      <xdr:spPr>
        <a:xfrm>
          <a:off x="3427342" y="19051"/>
          <a:ext cx="928895" cy="23812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400" b="1">
              <a:solidFill>
                <a:srgbClr val="FF0000"/>
              </a:solidFill>
              <a:latin typeface="標楷體" pitchFamily="65" charset="-120"/>
              <a:ea typeface="標楷體" pitchFamily="65" charset="-120"/>
            </a:rPr>
            <a:t>回前一頁</a:t>
          </a:r>
          <a:endParaRPr lang="en-US" altLang="zh-TW" sz="1400" b="1">
            <a:solidFill>
              <a:srgbClr val="FF0000"/>
            </a:solidFill>
            <a:latin typeface="標楷體" pitchFamily="65" charset="-120"/>
            <a:ea typeface="標楷體" pitchFamily="65" charset="-120"/>
          </a:endParaRPr>
        </a:p>
      </xdr:txBody>
    </xdr:sp>
    <xdr:clientData/>
  </xdr:twoCellAnchor>
  <xdr:twoCellAnchor editAs="oneCell">
    <xdr:from>
      <xdr:col>0</xdr:col>
      <xdr:colOff>0</xdr:colOff>
      <xdr:row>1</xdr:row>
      <xdr:rowOff>1</xdr:rowOff>
    </xdr:from>
    <xdr:to>
      <xdr:col>8</xdr:col>
      <xdr:colOff>665507</xdr:colOff>
      <xdr:row>31</xdr:row>
      <xdr:rowOff>200854</xdr:rowOff>
    </xdr:to>
    <xdr:pic>
      <xdr:nvPicPr>
        <xdr:cNvPr id="6" name="圖片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65044"/>
          <a:ext cx="8310355" cy="6470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8.xml"/><Relationship Id="rId1" Type="http://schemas.openxmlformats.org/officeDocument/2006/relationships/printerSettings" Target="../printerSettings/printerSettings13.bin"/><Relationship Id="rId5" Type="http://schemas.openxmlformats.org/officeDocument/2006/relationships/image" Target="../media/image43.emf"/><Relationship Id="rId4" Type="http://schemas.openxmlformats.org/officeDocument/2006/relationships/package" Target="../embeddings/Microsoft_Word_Document1.docx"/></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8.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activeCell="C6" sqref="C6"/>
    </sheetView>
  </sheetViews>
  <sheetFormatPr defaultRowHeight="19.8"/>
  <cols>
    <col min="1" max="1" width="5.88671875" customWidth="1"/>
    <col min="2" max="2" width="26.33203125" style="28" customWidth="1"/>
    <col min="3" max="3" width="34.109375" customWidth="1"/>
    <col min="4" max="4" width="34.77734375" customWidth="1"/>
    <col min="5" max="5" width="33.44140625" customWidth="1"/>
    <col min="6" max="6" width="35.109375" customWidth="1"/>
    <col min="7" max="7" width="16" customWidth="1"/>
    <col min="8" max="9" width="15.77734375" customWidth="1"/>
  </cols>
  <sheetData>
    <row r="1" spans="1:9" ht="31.8">
      <c r="A1" s="285" t="s">
        <v>1044</v>
      </c>
      <c r="B1" s="286"/>
      <c r="C1" s="286"/>
      <c r="D1" s="212"/>
      <c r="E1" s="212"/>
      <c r="F1" s="212"/>
    </row>
    <row r="2" spans="1:9">
      <c r="A2" s="209" t="s">
        <v>1045</v>
      </c>
      <c r="B2" s="209" t="s">
        <v>1046</v>
      </c>
      <c r="C2" s="287" t="s">
        <v>1068</v>
      </c>
      <c r="D2" s="288"/>
      <c r="E2" s="288"/>
      <c r="F2" s="289"/>
      <c r="G2" s="35"/>
      <c r="H2" s="35"/>
    </row>
    <row r="3" spans="1:9" ht="36.6" customHeight="1">
      <c r="A3" s="209" t="s">
        <v>757</v>
      </c>
      <c r="B3" s="221" t="s">
        <v>1047</v>
      </c>
      <c r="C3" s="222" t="s">
        <v>1048</v>
      </c>
      <c r="D3" s="223"/>
      <c r="E3" s="223"/>
      <c r="F3" s="223"/>
      <c r="G3" s="35"/>
      <c r="H3" s="35"/>
    </row>
    <row r="4" spans="1:9" ht="34.5" customHeight="1">
      <c r="A4" s="209" t="s">
        <v>756</v>
      </c>
      <c r="B4" s="224" t="s">
        <v>1049</v>
      </c>
      <c r="C4" s="225" t="s">
        <v>1050</v>
      </c>
      <c r="D4" s="225" t="s">
        <v>1051</v>
      </c>
      <c r="E4" s="225" t="s">
        <v>1052</v>
      </c>
      <c r="F4" s="225" t="s">
        <v>1053</v>
      </c>
    </row>
    <row r="5" spans="1:9" ht="36.9" customHeight="1">
      <c r="A5" s="209" t="s">
        <v>332</v>
      </c>
      <c r="B5" s="226" t="s">
        <v>1054</v>
      </c>
      <c r="C5" s="227" t="s">
        <v>1055</v>
      </c>
      <c r="D5" s="227" t="s">
        <v>1056</v>
      </c>
      <c r="E5" s="223"/>
      <c r="F5" s="223"/>
    </row>
    <row r="6" spans="1:9" ht="42" customHeight="1">
      <c r="A6" s="209" t="s">
        <v>333</v>
      </c>
      <c r="B6" s="228" t="s">
        <v>1057</v>
      </c>
      <c r="C6" s="229" t="s">
        <v>1058</v>
      </c>
      <c r="D6" s="229" t="s">
        <v>1059</v>
      </c>
      <c r="E6" s="229" t="s">
        <v>1279</v>
      </c>
      <c r="F6" s="229" t="s">
        <v>1060</v>
      </c>
    </row>
    <row r="7" spans="1:9" ht="37.5" customHeight="1">
      <c r="A7" s="209"/>
      <c r="B7" s="230"/>
      <c r="C7" s="229" t="s">
        <v>1061</v>
      </c>
      <c r="D7" s="229" t="s">
        <v>1062</v>
      </c>
      <c r="E7" s="229" t="s">
        <v>1063</v>
      </c>
      <c r="F7" s="231"/>
      <c r="G7" s="210"/>
      <c r="H7" s="210"/>
      <c r="I7" s="210"/>
    </row>
    <row r="8" spans="1:9" ht="37.5" customHeight="1">
      <c r="A8" s="209" t="s">
        <v>334</v>
      </c>
      <c r="B8" s="232" t="s">
        <v>1064</v>
      </c>
      <c r="C8" s="233" t="s">
        <v>1065</v>
      </c>
      <c r="D8" s="233" t="s">
        <v>1066</v>
      </c>
      <c r="E8" s="233" t="s">
        <v>1067</v>
      </c>
      <c r="F8" s="233" t="s">
        <v>1280</v>
      </c>
    </row>
    <row r="9" spans="1:9" ht="18">
      <c r="A9" s="212"/>
      <c r="B9" s="30"/>
      <c r="C9" s="212"/>
      <c r="D9" s="212"/>
      <c r="E9" s="212"/>
      <c r="F9" s="212"/>
    </row>
  </sheetData>
  <mergeCells count="2">
    <mergeCell ref="A1:C1"/>
    <mergeCell ref="C2:F2"/>
  </mergeCells>
  <phoneticPr fontId="1" type="noConversion"/>
  <hyperlinks>
    <hyperlink ref="C4" location="'B21'!A1" display="B21.溫室作物技術資料庫"/>
    <hyperlink ref="D4" location="'B22'!A1" display="B22.溫室環境氣候資料庫"/>
    <hyperlink ref="E4" location="'B23'!A1" display="B23.溫室地形地貌資料庫"/>
    <hyperlink ref="F4" location="'B24'!A1" display="B24.溫室基本設計資料庫"/>
    <hyperlink ref="C6" location="'B41'!A1" display="B41.環境需求設計"/>
    <hyperlink ref="C5" location="'B31'!A1" display="B31.溫室環境綜合分析"/>
    <hyperlink ref="D5" location="'B32'!A1" display="B32.溫室設計綜合分析"/>
    <hyperlink ref="D6" location="'B42'!A1" display="B42.溫室基本設計"/>
    <hyperlink ref="F6" location="'B44'!A1" display="B44.溫室防颱強化設計"/>
    <hyperlink ref="D7" location="'B46'!A1" display="B46.溫室工程設計"/>
    <hyperlink ref="E7" location="'B47'!A1" display="B47.溫室成本設計"/>
    <hyperlink ref="F8" location="'B54'!A1" display="B54.溫室經費表"/>
    <hyperlink ref="D8" location="'B52'!A1" display="B52.溫室資材表"/>
    <hyperlink ref="C7" location="'B45'!A1" display="B45.溫室處理設計"/>
    <hyperlink ref="E8" location="'B53'!A1" display="B53.溫室進度表"/>
    <hyperlink ref="C8" location="'B51'!A1" display="B51.溫室工程圖"/>
    <hyperlink ref="E6" location="'B43'!A1" display="B43.溫室結構設計"/>
    <hyperlink ref="C3" location="'B11'!A1" display="B11.溫室資訊輸入"/>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1:K37"/>
  <sheetViews>
    <sheetView workbookViewId="0">
      <selection sqref="A1:B1"/>
    </sheetView>
  </sheetViews>
  <sheetFormatPr defaultRowHeight="16.2"/>
  <cols>
    <col min="1" max="1" width="7.21875" bestFit="1" customWidth="1"/>
    <col min="2" max="2" width="25.109375" customWidth="1"/>
    <col min="3" max="3" width="12.44140625" customWidth="1"/>
    <col min="4" max="4" width="11.88671875" bestFit="1" customWidth="1"/>
    <col min="5" max="5" width="11.109375" customWidth="1"/>
    <col min="7" max="7" width="15.44140625" customWidth="1"/>
  </cols>
  <sheetData>
    <row r="1" spans="1:11" ht="22.2">
      <c r="A1" s="310" t="s">
        <v>1043</v>
      </c>
      <c r="B1" s="310"/>
      <c r="C1" s="60"/>
    </row>
    <row r="2" spans="1:11" ht="20.25" customHeight="1"/>
    <row r="3" spans="1:11" ht="19.8">
      <c r="A3" s="314" t="s">
        <v>753</v>
      </c>
      <c r="B3" s="314"/>
      <c r="C3" s="88" t="s">
        <v>1072</v>
      </c>
      <c r="D3" s="39" t="s">
        <v>754</v>
      </c>
      <c r="E3" s="315" t="s">
        <v>758</v>
      </c>
      <c r="F3" s="316"/>
      <c r="G3" s="317"/>
      <c r="H3" s="28" t="s">
        <v>306</v>
      </c>
    </row>
    <row r="4" spans="1:11" ht="19.8">
      <c r="A4" s="295" t="s">
        <v>310</v>
      </c>
      <c r="B4" s="296"/>
      <c r="C4" s="296"/>
      <c r="D4" s="296"/>
      <c r="E4" s="296"/>
      <c r="F4" s="296"/>
      <c r="G4" s="297"/>
    </row>
    <row r="5" spans="1:11" ht="19.8">
      <c r="A5" s="39" t="s">
        <v>301</v>
      </c>
      <c r="B5" s="39" t="s">
        <v>302</v>
      </c>
      <c r="C5" s="298" t="s">
        <v>309</v>
      </c>
      <c r="D5" s="299"/>
      <c r="E5" s="299"/>
      <c r="F5" s="299"/>
      <c r="G5" s="300"/>
    </row>
    <row r="6" spans="1:11" ht="22.2">
      <c r="A6" s="67">
        <v>1</v>
      </c>
      <c r="B6" s="14" t="s">
        <v>303</v>
      </c>
      <c r="C6" s="167" t="s">
        <v>763</v>
      </c>
      <c r="D6" s="291"/>
      <c r="E6" s="291"/>
      <c r="F6" s="291"/>
      <c r="G6" s="291"/>
    </row>
    <row r="7" spans="1:11" ht="22.2">
      <c r="A7" s="67">
        <v>2</v>
      </c>
      <c r="B7" s="14" t="s">
        <v>304</v>
      </c>
      <c r="C7" s="307" t="s">
        <v>1073</v>
      </c>
      <c r="D7" s="308"/>
      <c r="E7" s="308"/>
      <c r="F7" s="308"/>
      <c r="G7" s="309"/>
    </row>
    <row r="8" spans="1:11" ht="22.2">
      <c r="A8" s="67">
        <v>3</v>
      </c>
      <c r="B8" s="14" t="s">
        <v>305</v>
      </c>
      <c r="C8" s="307" t="s">
        <v>1074</v>
      </c>
      <c r="D8" s="308"/>
      <c r="E8" s="308"/>
      <c r="F8" s="308"/>
      <c r="G8" s="309"/>
    </row>
    <row r="9" spans="1:11" ht="22.2">
      <c r="A9" s="67">
        <v>4</v>
      </c>
      <c r="B9" s="26" t="s">
        <v>307</v>
      </c>
      <c r="C9" s="311" t="s">
        <v>1075</v>
      </c>
      <c r="D9" s="312"/>
      <c r="E9" s="312"/>
      <c r="F9" s="312"/>
      <c r="G9" s="313"/>
      <c r="H9" s="28"/>
    </row>
    <row r="10" spans="1:11" ht="22.2">
      <c r="A10" s="145">
        <v>5</v>
      </c>
      <c r="B10" s="26" t="s">
        <v>729</v>
      </c>
      <c r="C10" s="171" t="s">
        <v>1076</v>
      </c>
      <c r="D10" s="307"/>
      <c r="E10" s="308"/>
      <c r="F10" s="308"/>
      <c r="G10" s="309"/>
    </row>
    <row r="11" spans="1:11" ht="19.8">
      <c r="A11" s="295" t="s">
        <v>310</v>
      </c>
      <c r="B11" s="296"/>
      <c r="C11" s="296"/>
      <c r="D11" s="296"/>
      <c r="E11" s="296"/>
      <c r="F11" s="296"/>
      <c r="G11" s="297"/>
      <c r="H11" s="28" t="s">
        <v>314</v>
      </c>
      <c r="K11" s="28"/>
    </row>
    <row r="12" spans="1:11" ht="19.8">
      <c r="A12" s="39" t="s">
        <v>301</v>
      </c>
      <c r="B12" s="39" t="s">
        <v>302</v>
      </c>
      <c r="C12" s="298" t="s">
        <v>309</v>
      </c>
      <c r="D12" s="299"/>
      <c r="E12" s="299"/>
      <c r="F12" s="299"/>
      <c r="G12" s="300"/>
    </row>
    <row r="13" spans="1:11" ht="22.2">
      <c r="A13" s="67">
        <v>5</v>
      </c>
      <c r="B13" s="14" t="s">
        <v>313</v>
      </c>
      <c r="C13" s="245" t="s">
        <v>762</v>
      </c>
      <c r="D13" s="291"/>
      <c r="E13" s="291"/>
      <c r="F13" s="291"/>
      <c r="G13" s="291"/>
    </row>
    <row r="14" spans="1:11" ht="22.2">
      <c r="A14" s="67">
        <v>6</v>
      </c>
      <c r="B14" s="14" t="s">
        <v>316</v>
      </c>
      <c r="C14" s="61" t="s">
        <v>530</v>
      </c>
      <c r="D14" s="68"/>
      <c r="E14" s="68"/>
      <c r="F14" s="68"/>
      <c r="G14" s="68"/>
    </row>
    <row r="15" spans="1:11" ht="19.8">
      <c r="A15" s="295" t="s">
        <v>311</v>
      </c>
      <c r="B15" s="296"/>
      <c r="C15" s="296"/>
      <c r="D15" s="296"/>
      <c r="E15" s="296"/>
      <c r="F15" s="296"/>
      <c r="G15" s="297"/>
    </row>
    <row r="16" spans="1:11" ht="19.8">
      <c r="A16" s="39" t="s">
        <v>301</v>
      </c>
      <c r="B16" s="63" t="s">
        <v>312</v>
      </c>
      <c r="C16" s="63" t="s">
        <v>308</v>
      </c>
      <c r="D16" s="63" t="s">
        <v>286</v>
      </c>
      <c r="E16" s="69" t="s">
        <v>287</v>
      </c>
      <c r="F16" s="69" t="s">
        <v>315</v>
      </c>
      <c r="G16" s="69" t="s">
        <v>481</v>
      </c>
    </row>
    <row r="17" spans="1:7" ht="19.8">
      <c r="A17" s="67">
        <v>7</v>
      </c>
      <c r="B17" s="58" t="s">
        <v>74</v>
      </c>
      <c r="C17" s="61" t="s">
        <v>760</v>
      </c>
      <c r="D17" s="61" t="s">
        <v>637</v>
      </c>
      <c r="E17" s="15">
        <v>4</v>
      </c>
      <c r="F17" s="91" t="s">
        <v>761</v>
      </c>
      <c r="G17" s="15">
        <v>0</v>
      </c>
    </row>
    <row r="18" spans="1:7" ht="19.8">
      <c r="A18" s="67">
        <v>8</v>
      </c>
      <c r="B18" s="58" t="s">
        <v>86</v>
      </c>
      <c r="C18" s="91" t="s">
        <v>761</v>
      </c>
      <c r="D18" s="91" t="s">
        <v>566</v>
      </c>
      <c r="E18" s="15">
        <v>0</v>
      </c>
      <c r="F18" s="91" t="s">
        <v>761</v>
      </c>
      <c r="G18" s="15">
        <v>0</v>
      </c>
    </row>
    <row r="19" spans="1:7" ht="19.8">
      <c r="A19" s="67">
        <v>9</v>
      </c>
      <c r="B19" s="58" t="s">
        <v>87</v>
      </c>
      <c r="C19" s="91" t="s">
        <v>761</v>
      </c>
      <c r="D19" s="91" t="s">
        <v>566</v>
      </c>
      <c r="E19" s="15">
        <v>0</v>
      </c>
      <c r="F19" s="91" t="s">
        <v>761</v>
      </c>
      <c r="G19" s="15">
        <v>0</v>
      </c>
    </row>
    <row r="20" spans="1:7" ht="19.8">
      <c r="A20" s="67">
        <v>10</v>
      </c>
      <c r="B20" s="58" t="s">
        <v>78</v>
      </c>
      <c r="C20" s="91" t="s">
        <v>761</v>
      </c>
      <c r="D20" s="91" t="s">
        <v>566</v>
      </c>
      <c r="E20" s="15">
        <v>0</v>
      </c>
      <c r="F20" s="91" t="s">
        <v>760</v>
      </c>
      <c r="G20" s="15">
        <v>40</v>
      </c>
    </row>
    <row r="21" spans="1:7" ht="19.8">
      <c r="A21" s="295" t="s">
        <v>317</v>
      </c>
      <c r="B21" s="296"/>
      <c r="C21" s="296"/>
      <c r="D21" s="296"/>
      <c r="E21" s="296"/>
      <c r="F21" s="296"/>
      <c r="G21" s="297"/>
    </row>
    <row r="22" spans="1:7" ht="19.8">
      <c r="A22" s="39" t="s">
        <v>301</v>
      </c>
      <c r="B22" s="93" t="s">
        <v>302</v>
      </c>
      <c r="C22" s="298" t="s">
        <v>309</v>
      </c>
      <c r="D22" s="299"/>
      <c r="E22" s="299"/>
      <c r="F22" s="299"/>
      <c r="G22" s="300"/>
    </row>
    <row r="23" spans="1:7" ht="19.8">
      <c r="A23" s="67">
        <v>11</v>
      </c>
      <c r="B23" s="58" t="s">
        <v>298</v>
      </c>
      <c r="C23" s="292">
        <v>25</v>
      </c>
      <c r="D23" s="293"/>
      <c r="E23" s="293"/>
      <c r="F23" s="293"/>
      <c r="G23" s="294"/>
    </row>
    <row r="24" spans="1:7" ht="19.8">
      <c r="A24" s="67">
        <v>12</v>
      </c>
      <c r="B24" s="50" t="s">
        <v>299</v>
      </c>
      <c r="C24" s="292">
        <v>104</v>
      </c>
      <c r="D24" s="293"/>
      <c r="E24" s="293"/>
      <c r="F24" s="293"/>
      <c r="G24" s="294"/>
    </row>
    <row r="25" spans="1:7" ht="20.399999999999999">
      <c r="A25" s="67">
        <v>13</v>
      </c>
      <c r="B25" s="50" t="s">
        <v>300</v>
      </c>
      <c r="C25" s="301">
        <f>C23*C24</f>
        <v>2600</v>
      </c>
      <c r="D25" s="302"/>
      <c r="E25" s="302"/>
      <c r="F25" s="302"/>
      <c r="G25" s="303"/>
    </row>
    <row r="26" spans="1:7" ht="19.8">
      <c r="A26" s="67">
        <v>14</v>
      </c>
      <c r="B26" s="58" t="s">
        <v>293</v>
      </c>
      <c r="C26" s="292">
        <v>22.6</v>
      </c>
      <c r="D26" s="293"/>
      <c r="E26" s="293"/>
      <c r="F26" s="293"/>
      <c r="G26" s="294"/>
    </row>
    <row r="27" spans="1:7" ht="19.8">
      <c r="A27" s="67">
        <v>15</v>
      </c>
      <c r="B27" s="50" t="s">
        <v>294</v>
      </c>
      <c r="C27" s="292">
        <v>102</v>
      </c>
      <c r="D27" s="293"/>
      <c r="E27" s="293"/>
      <c r="F27" s="293"/>
      <c r="G27" s="294"/>
    </row>
    <row r="28" spans="1:7" ht="20.399999999999999">
      <c r="A28" s="67">
        <v>16</v>
      </c>
      <c r="B28" s="50" t="s">
        <v>295</v>
      </c>
      <c r="C28" s="301">
        <f>C26*C27</f>
        <v>2305.2000000000003</v>
      </c>
      <c r="D28" s="302"/>
      <c r="E28" s="302"/>
      <c r="F28" s="302"/>
      <c r="G28" s="303"/>
    </row>
    <row r="29" spans="1:7" ht="19.8">
      <c r="A29" s="67">
        <v>17</v>
      </c>
      <c r="B29" s="50" t="s">
        <v>527</v>
      </c>
      <c r="C29" s="304">
        <f>C28/3.3</f>
        <v>698.54545454545462</v>
      </c>
      <c r="D29" s="305"/>
      <c r="E29" s="305"/>
      <c r="F29" s="305"/>
      <c r="G29" s="306"/>
    </row>
    <row r="30" spans="1:7" ht="19.8">
      <c r="A30" s="67">
        <v>18</v>
      </c>
      <c r="B30" s="50" t="s">
        <v>297</v>
      </c>
      <c r="C30" s="292">
        <v>550</v>
      </c>
      <c r="D30" s="293"/>
      <c r="E30" s="293"/>
      <c r="F30" s="293"/>
      <c r="G30" s="294"/>
    </row>
    <row r="31" spans="1:7" ht="19.8">
      <c r="A31" s="67">
        <v>19</v>
      </c>
      <c r="B31" s="50" t="s">
        <v>638</v>
      </c>
      <c r="C31" s="292">
        <v>565</v>
      </c>
      <c r="D31" s="293"/>
      <c r="E31" s="293"/>
      <c r="F31" s="293"/>
      <c r="G31" s="294"/>
    </row>
    <row r="32" spans="1:7">
      <c r="A32" s="290"/>
      <c r="B32" s="290"/>
      <c r="C32" s="290"/>
      <c r="D32" s="290"/>
      <c r="E32" s="290"/>
      <c r="F32" s="290"/>
      <c r="G32" s="290"/>
    </row>
    <row r="33" spans="1:7" ht="19.8">
      <c r="A33" s="295" t="s">
        <v>561</v>
      </c>
      <c r="B33" s="296"/>
      <c r="C33" s="296"/>
      <c r="D33" s="296"/>
      <c r="E33" s="296"/>
      <c r="F33" s="296"/>
      <c r="G33" s="297"/>
    </row>
    <row r="34" spans="1:7" ht="19.8">
      <c r="A34" s="39" t="s">
        <v>89</v>
      </c>
      <c r="B34" s="93" t="s">
        <v>247</v>
      </c>
      <c r="C34" s="298" t="s">
        <v>309</v>
      </c>
      <c r="D34" s="299"/>
      <c r="E34" s="299"/>
      <c r="F34" s="299"/>
      <c r="G34" s="300"/>
    </row>
    <row r="35" spans="1:7" ht="19.8">
      <c r="A35" s="67">
        <v>20</v>
      </c>
      <c r="B35" s="93" t="s">
        <v>603</v>
      </c>
      <c r="C35" s="91" t="s">
        <v>602</v>
      </c>
      <c r="D35" s="318"/>
      <c r="E35" s="319"/>
      <c r="F35" s="319"/>
      <c r="G35" s="320"/>
    </row>
    <row r="36" spans="1:7" ht="19.8">
      <c r="A36" s="67">
        <v>21</v>
      </c>
      <c r="B36" s="50" t="s">
        <v>610</v>
      </c>
      <c r="C36" s="91" t="s">
        <v>759</v>
      </c>
      <c r="D36" s="318"/>
      <c r="E36" s="319"/>
      <c r="F36" s="319"/>
      <c r="G36" s="320"/>
    </row>
    <row r="37" spans="1:7" ht="19.8">
      <c r="A37" s="67">
        <v>22</v>
      </c>
      <c r="B37" s="50" t="s">
        <v>1173</v>
      </c>
      <c r="C37" s="15">
        <v>3</v>
      </c>
      <c r="D37" s="301"/>
      <c r="E37" s="302"/>
      <c r="F37" s="302"/>
      <c r="G37" s="303"/>
    </row>
  </sheetData>
  <mergeCells count="31">
    <mergeCell ref="A33:G33"/>
    <mergeCell ref="C34:G34"/>
    <mergeCell ref="D35:G35"/>
    <mergeCell ref="D36:G36"/>
    <mergeCell ref="D37:G37"/>
    <mergeCell ref="C12:G12"/>
    <mergeCell ref="A4:G4"/>
    <mergeCell ref="D10:G10"/>
    <mergeCell ref="A1:B1"/>
    <mergeCell ref="C9:G9"/>
    <mergeCell ref="C7:G7"/>
    <mergeCell ref="C5:G5"/>
    <mergeCell ref="A3:B3"/>
    <mergeCell ref="E3:G3"/>
    <mergeCell ref="C8:G8"/>
    <mergeCell ref="A32:G32"/>
    <mergeCell ref="D13:G13"/>
    <mergeCell ref="D6:G6"/>
    <mergeCell ref="C31:G31"/>
    <mergeCell ref="C30:G30"/>
    <mergeCell ref="A21:G21"/>
    <mergeCell ref="C22:G22"/>
    <mergeCell ref="C23:G23"/>
    <mergeCell ref="C28:G28"/>
    <mergeCell ref="C29:G29"/>
    <mergeCell ref="C24:G24"/>
    <mergeCell ref="C25:G25"/>
    <mergeCell ref="C26:G26"/>
    <mergeCell ref="C27:G27"/>
    <mergeCell ref="A15:G15"/>
    <mergeCell ref="A11:G11"/>
  </mergeCells>
  <phoneticPr fontId="1" type="noConversion"/>
  <dataValidations count="5">
    <dataValidation type="list" allowBlank="1" showInputMessage="1" showErrorMessage="1" sqref="C10">
      <formula1>"沿海,平原,郊區"</formula1>
    </dataValidation>
    <dataValidation type="list" allowBlank="1" showInputMessage="1" showErrorMessage="1" sqref="C35:C36">
      <formula1>"白鐵,鍍鋅鋼"</formula1>
    </dataValidation>
    <dataValidation type="list" allowBlank="1" showInputMessage="1" showErrorMessage="1" sqref="C17:C20 F17:F20">
      <formula1>"有,無"</formula1>
    </dataValidation>
    <dataValidation type="list" allowBlank="1" showInputMessage="1" showErrorMessage="1" sqref="C13">
      <formula1>"東,西,南,北"</formula1>
    </dataValidation>
    <dataValidation type="list" allowBlank="1" showInputMessage="1" showErrorMessage="1" sqref="C6">
      <formula1>"嘉義縣,宜蘭縣"</formula1>
    </dataValidation>
  </dataValidations>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
  <sheetViews>
    <sheetView workbookViewId="0">
      <selection sqref="A1:C1"/>
    </sheetView>
  </sheetViews>
  <sheetFormatPr defaultRowHeight="16.2"/>
  <cols>
    <col min="2" max="2" width="17.44140625" bestFit="1" customWidth="1"/>
  </cols>
  <sheetData>
    <row r="1" spans="1:9" ht="22.2">
      <c r="A1" s="321" t="s">
        <v>1042</v>
      </c>
      <c r="B1" s="321"/>
      <c r="C1" s="321"/>
      <c r="D1" s="44"/>
      <c r="E1" s="44"/>
    </row>
    <row r="2" spans="1:9" ht="22.2">
      <c r="A2" s="49"/>
      <c r="B2" s="49"/>
      <c r="C2" s="2"/>
      <c r="D2" s="44"/>
      <c r="E2" s="44"/>
    </row>
    <row r="3" spans="1:9" ht="19.8">
      <c r="A3" s="50" t="s">
        <v>248</v>
      </c>
      <c r="B3" s="50" t="s">
        <v>247</v>
      </c>
      <c r="C3" s="51">
        <v>1</v>
      </c>
      <c r="D3" s="51">
        <v>2</v>
      </c>
    </row>
    <row r="4" spans="1:9" ht="19.8">
      <c r="A4" s="51" t="s">
        <v>958</v>
      </c>
      <c r="B4" s="40" t="s">
        <v>1069</v>
      </c>
      <c r="C4" s="269" t="s">
        <v>897</v>
      </c>
      <c r="D4" s="202"/>
    </row>
    <row r="5" spans="1:9" ht="19.8">
      <c r="A5" s="51" t="s">
        <v>959</v>
      </c>
      <c r="B5" s="40" t="s">
        <v>898</v>
      </c>
      <c r="C5" s="50" t="s">
        <v>899</v>
      </c>
      <c r="D5" s="50"/>
    </row>
    <row r="6" spans="1:9" ht="19.8">
      <c r="A6" s="51" t="s">
        <v>960</v>
      </c>
      <c r="B6" s="40" t="s">
        <v>1070</v>
      </c>
      <c r="C6" s="50" t="s">
        <v>896</v>
      </c>
      <c r="D6" s="50"/>
    </row>
    <row r="7" spans="1:9" ht="19.8">
      <c r="A7" s="51" t="s">
        <v>961</v>
      </c>
      <c r="B7" s="50" t="s">
        <v>764</v>
      </c>
      <c r="C7" s="50"/>
      <c r="D7" s="50"/>
    </row>
    <row r="8" spans="1:9" ht="22.2">
      <c r="A8" s="44"/>
      <c r="C8" s="43"/>
      <c r="D8" s="43"/>
      <c r="E8" s="43"/>
    </row>
    <row r="9" spans="1:9" ht="22.2">
      <c r="A9" s="187" t="s">
        <v>894</v>
      </c>
      <c r="B9" s="323" t="s">
        <v>895</v>
      </c>
      <c r="C9" s="324"/>
      <c r="D9" s="324"/>
      <c r="E9" s="324"/>
      <c r="F9" s="324"/>
      <c r="G9" s="324"/>
      <c r="H9" s="324"/>
      <c r="I9" s="325"/>
    </row>
    <row r="10" spans="1:9" ht="45.75" customHeight="1">
      <c r="A10" s="51">
        <v>1</v>
      </c>
      <c r="B10" s="322" t="s">
        <v>909</v>
      </c>
      <c r="C10" s="322"/>
      <c r="D10" s="322"/>
      <c r="E10" s="322"/>
      <c r="F10" s="322"/>
      <c r="G10" s="322"/>
      <c r="H10" s="322"/>
      <c r="I10" s="322"/>
    </row>
    <row r="11" spans="1:9" ht="56.25" customHeight="1">
      <c r="A11" s="51">
        <v>2</v>
      </c>
      <c r="B11" s="322" t="s">
        <v>910</v>
      </c>
      <c r="C11" s="322"/>
      <c r="D11" s="322"/>
      <c r="E11" s="322"/>
      <c r="F11" s="322"/>
      <c r="G11" s="322"/>
      <c r="H11" s="322"/>
      <c r="I11" s="322"/>
    </row>
    <row r="12" spans="1:9" ht="81.75" customHeight="1">
      <c r="A12" s="51">
        <v>3</v>
      </c>
      <c r="B12" s="322" t="s">
        <v>911</v>
      </c>
      <c r="C12" s="322"/>
      <c r="D12" s="322"/>
      <c r="E12" s="322"/>
      <c r="F12" s="322"/>
      <c r="G12" s="322"/>
      <c r="H12" s="322"/>
      <c r="I12" s="322"/>
    </row>
    <row r="13" spans="1:9" ht="22.2">
      <c r="A13" s="44"/>
      <c r="B13" s="43"/>
      <c r="C13" s="43"/>
      <c r="D13" s="43"/>
      <c r="E13" s="43"/>
    </row>
    <row r="14" spans="1:9" ht="22.2">
      <c r="A14" s="44"/>
      <c r="B14" s="43"/>
      <c r="C14" s="43"/>
      <c r="D14" s="43"/>
      <c r="E14" s="43"/>
    </row>
    <row r="15" spans="1:9" ht="22.2">
      <c r="A15" s="44"/>
      <c r="B15" s="43"/>
      <c r="C15" s="43"/>
      <c r="D15" s="43"/>
      <c r="E15" s="43"/>
    </row>
    <row r="16" spans="1:9" ht="22.2">
      <c r="A16" s="44"/>
      <c r="B16" s="43"/>
      <c r="C16" s="43"/>
      <c r="D16" s="43"/>
      <c r="E16" s="43"/>
    </row>
    <row r="17" spans="1:5" ht="22.2">
      <c r="A17" s="44"/>
      <c r="B17" s="43"/>
      <c r="C17" s="43"/>
      <c r="D17" s="43"/>
      <c r="E17" s="43"/>
    </row>
  </sheetData>
  <mergeCells count="5">
    <mergeCell ref="A1:C1"/>
    <mergeCell ref="B10:I10"/>
    <mergeCell ref="B11:I11"/>
    <mergeCell ref="B12:I12"/>
    <mergeCell ref="B9:I9"/>
  </mergeCells>
  <phoneticPr fontId="1" type="noConversion"/>
  <hyperlinks>
    <hyperlink ref="B4" location="'B211'!A1" display="蔬菜作業系統"/>
    <hyperlink ref="B5" location="'B212'!A1" display="水果作業系統"/>
    <hyperlink ref="B6" location="'B213'!A1" display="花卉作業系統"/>
  </hyperlink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heetViews>
  <sheetFormatPr defaultRowHeight="16.2"/>
  <cols>
    <col min="2" max="2" width="20.21875" bestFit="1" customWidth="1"/>
    <col min="3" max="4" width="14.6640625" bestFit="1" customWidth="1"/>
    <col min="5" max="5" width="11.88671875" bestFit="1" customWidth="1"/>
  </cols>
  <sheetData>
    <row r="1" spans="1:5" ht="22.2">
      <c r="A1" s="220" t="s">
        <v>1041</v>
      </c>
      <c r="B1" s="49"/>
      <c r="C1" s="2"/>
      <c r="D1" s="44"/>
      <c r="E1" s="44"/>
    </row>
    <row r="2" spans="1:5" ht="22.2">
      <c r="A2" s="49"/>
      <c r="B2" s="49"/>
      <c r="C2" s="2"/>
      <c r="D2" s="44"/>
      <c r="E2" s="44"/>
    </row>
    <row r="3" spans="1:5" ht="19.8">
      <c r="A3" s="269" t="s">
        <v>248</v>
      </c>
      <c r="B3" s="282" t="s">
        <v>1258</v>
      </c>
      <c r="C3" s="269" t="s">
        <v>249</v>
      </c>
      <c r="D3" s="202" t="s">
        <v>897</v>
      </c>
    </row>
    <row r="4" spans="1:5" ht="19.8">
      <c r="A4" s="51">
        <v>1</v>
      </c>
      <c r="B4" s="326" t="s">
        <v>1247</v>
      </c>
      <c r="C4" s="271" t="s">
        <v>1248</v>
      </c>
      <c r="D4" s="195"/>
    </row>
    <row r="5" spans="1:5" ht="19.8">
      <c r="A5" s="51">
        <v>2</v>
      </c>
      <c r="B5" s="326"/>
      <c r="C5" s="271" t="s">
        <v>1249</v>
      </c>
      <c r="D5" s="195"/>
    </row>
    <row r="6" spans="1:5" ht="19.8">
      <c r="A6" s="51">
        <v>3</v>
      </c>
      <c r="B6" s="326"/>
      <c r="C6" s="271" t="s">
        <v>1250</v>
      </c>
      <c r="D6" s="195"/>
    </row>
    <row r="7" spans="1:5" ht="19.8">
      <c r="A7" s="51">
        <v>4</v>
      </c>
      <c r="B7" s="326"/>
      <c r="C7" s="271" t="s">
        <v>1251</v>
      </c>
      <c r="D7" s="195"/>
    </row>
    <row r="8" spans="1:5" ht="19.8">
      <c r="A8" s="51">
        <v>5</v>
      </c>
      <c r="B8" s="326"/>
      <c r="C8" s="271" t="s">
        <v>1252</v>
      </c>
      <c r="D8" s="269"/>
    </row>
    <row r="9" spans="1:5" ht="22.2">
      <c r="A9" s="51">
        <v>6</v>
      </c>
      <c r="B9" s="326"/>
      <c r="C9" s="271" t="s">
        <v>1242</v>
      </c>
      <c r="D9" s="14"/>
      <c r="E9" s="43"/>
    </row>
    <row r="10" spans="1:5" ht="22.2">
      <c r="A10" s="51">
        <v>7</v>
      </c>
      <c r="B10" s="326" t="s">
        <v>1253</v>
      </c>
      <c r="C10" s="271" t="s">
        <v>1248</v>
      </c>
      <c r="D10" s="14"/>
      <c r="E10" s="43"/>
    </row>
    <row r="11" spans="1:5" ht="22.2">
      <c r="A11" s="51">
        <v>8</v>
      </c>
      <c r="B11" s="326"/>
      <c r="C11" s="271" t="s">
        <v>1249</v>
      </c>
      <c r="D11" s="14"/>
      <c r="E11" s="43"/>
    </row>
    <row r="12" spans="1:5" ht="22.2">
      <c r="A12" s="51">
        <v>9</v>
      </c>
      <c r="B12" s="326"/>
      <c r="C12" s="271" t="s">
        <v>1250</v>
      </c>
      <c r="D12" s="14"/>
      <c r="E12" s="43"/>
    </row>
    <row r="13" spans="1:5" ht="22.2">
      <c r="A13" s="51">
        <v>10</v>
      </c>
      <c r="B13" s="326"/>
      <c r="C13" s="271" t="s">
        <v>1251</v>
      </c>
      <c r="D13" s="14"/>
      <c r="E13" s="43"/>
    </row>
    <row r="14" spans="1:5" ht="22.2">
      <c r="A14" s="51">
        <v>11</v>
      </c>
      <c r="B14" s="326"/>
      <c r="C14" s="271" t="s">
        <v>1252</v>
      </c>
      <c r="D14" s="14"/>
      <c r="E14" s="43"/>
    </row>
    <row r="15" spans="1:5" ht="22.2">
      <c r="A15" s="51">
        <v>12</v>
      </c>
      <c r="B15" s="326"/>
      <c r="C15" s="271" t="s">
        <v>1254</v>
      </c>
      <c r="D15" s="14"/>
      <c r="E15" s="43"/>
    </row>
    <row r="16" spans="1:5" ht="22.2">
      <c r="A16" s="51">
        <v>13</v>
      </c>
      <c r="B16" s="326" t="s">
        <v>1255</v>
      </c>
      <c r="C16" s="271" t="s">
        <v>1248</v>
      </c>
      <c r="D16" s="14"/>
      <c r="E16" s="43"/>
    </row>
    <row r="17" spans="1:4" ht="19.8">
      <c r="A17" s="51">
        <v>14</v>
      </c>
      <c r="B17" s="326"/>
      <c r="C17" s="271" t="s">
        <v>1249</v>
      </c>
      <c r="D17" s="270"/>
    </row>
    <row r="18" spans="1:4" ht="19.8">
      <c r="A18" s="51">
        <v>15</v>
      </c>
      <c r="B18" s="326"/>
      <c r="C18" s="271" t="s">
        <v>1250</v>
      </c>
      <c r="D18" s="270"/>
    </row>
    <row r="19" spans="1:4" ht="19.8">
      <c r="A19" s="51">
        <v>16</v>
      </c>
      <c r="B19" s="326"/>
      <c r="C19" s="271" t="s">
        <v>1251</v>
      </c>
      <c r="D19" s="270"/>
    </row>
    <row r="20" spans="1:4" ht="19.8">
      <c r="A20" s="51">
        <v>17</v>
      </c>
      <c r="B20" s="326"/>
      <c r="C20" s="271" t="s">
        <v>1252</v>
      </c>
      <c r="D20" s="270"/>
    </row>
    <row r="21" spans="1:4" ht="19.8">
      <c r="A21" s="51">
        <v>18</v>
      </c>
      <c r="B21" s="326" t="s">
        <v>1256</v>
      </c>
      <c r="C21" s="271" t="s">
        <v>1248</v>
      </c>
      <c r="D21" s="270"/>
    </row>
    <row r="22" spans="1:4" ht="19.8">
      <c r="A22" s="51">
        <v>19</v>
      </c>
      <c r="B22" s="326"/>
      <c r="C22" s="271" t="s">
        <v>1249</v>
      </c>
      <c r="D22" s="270"/>
    </row>
    <row r="23" spans="1:4" ht="19.8">
      <c r="A23" s="51">
        <v>20</v>
      </c>
      <c r="B23" s="326"/>
      <c r="C23" s="271" t="s">
        <v>1250</v>
      </c>
      <c r="D23" s="270"/>
    </row>
    <row r="24" spans="1:4" ht="19.8">
      <c r="A24" s="51">
        <v>21</v>
      </c>
      <c r="B24" s="326"/>
      <c r="C24" s="271" t="s">
        <v>1251</v>
      </c>
      <c r="D24" s="270"/>
    </row>
    <row r="25" spans="1:4" ht="19.8">
      <c r="A25" s="51">
        <v>22</v>
      </c>
      <c r="B25" s="326"/>
      <c r="C25" s="271" t="s">
        <v>1252</v>
      </c>
      <c r="D25" s="270"/>
    </row>
  </sheetData>
  <mergeCells count="4">
    <mergeCell ref="B4:B9"/>
    <mergeCell ref="B10:B15"/>
    <mergeCell ref="B16:B20"/>
    <mergeCell ref="B21:B25"/>
  </mergeCells>
  <phoneticPr fontId="1" type="noConversion"/>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heetViews>
  <sheetFormatPr defaultRowHeight="16.2"/>
  <cols>
    <col min="3" max="3" width="20.21875" bestFit="1" customWidth="1"/>
    <col min="4" max="6" width="11.88671875" bestFit="1" customWidth="1"/>
  </cols>
  <sheetData>
    <row r="1" spans="1:6" ht="22.2">
      <c r="A1" s="220" t="s">
        <v>1040</v>
      </c>
      <c r="B1" s="268"/>
      <c r="C1" s="49"/>
      <c r="D1" s="2"/>
      <c r="E1" s="44"/>
      <c r="F1" s="44"/>
    </row>
    <row r="2" spans="1:6" ht="22.2">
      <c r="A2" s="49"/>
      <c r="B2" s="184"/>
      <c r="C2" s="49"/>
      <c r="D2" s="2"/>
      <c r="E2" s="44"/>
      <c r="F2" s="44"/>
    </row>
    <row r="3" spans="1:6" ht="19.8">
      <c r="A3" s="50" t="s">
        <v>248</v>
      </c>
      <c r="B3" s="282" t="s">
        <v>1258</v>
      </c>
      <c r="C3" s="269" t="s">
        <v>249</v>
      </c>
      <c r="D3" s="269" t="s">
        <v>1257</v>
      </c>
    </row>
    <row r="4" spans="1:6" ht="19.8">
      <c r="A4" s="51">
        <v>1</v>
      </c>
      <c r="B4" s="326" t="s">
        <v>1247</v>
      </c>
      <c r="C4" s="271" t="s">
        <v>1248</v>
      </c>
      <c r="D4" s="271" t="s">
        <v>1236</v>
      </c>
    </row>
    <row r="5" spans="1:6" ht="19.8">
      <c r="A5" s="51">
        <v>2</v>
      </c>
      <c r="B5" s="326"/>
      <c r="C5" s="271" t="s">
        <v>1249</v>
      </c>
      <c r="D5" s="271" t="s">
        <v>1238</v>
      </c>
    </row>
    <row r="6" spans="1:6" ht="19.8">
      <c r="A6" s="51">
        <v>3</v>
      </c>
      <c r="B6" s="326"/>
      <c r="C6" s="271" t="s">
        <v>1250</v>
      </c>
      <c r="D6" s="271">
        <v>7</v>
      </c>
    </row>
    <row r="7" spans="1:6" ht="19.8">
      <c r="A7" s="51">
        <v>4</v>
      </c>
      <c r="B7" s="326"/>
      <c r="C7" s="271" t="s">
        <v>1251</v>
      </c>
      <c r="D7" s="271" t="s">
        <v>1240</v>
      </c>
    </row>
    <row r="8" spans="1:6" ht="19.8">
      <c r="A8" s="51">
        <v>5</v>
      </c>
      <c r="B8" s="326"/>
      <c r="C8" s="271" t="s">
        <v>1252</v>
      </c>
      <c r="D8" s="271" t="s">
        <v>1241</v>
      </c>
    </row>
    <row r="9" spans="1:6" ht="18">
      <c r="A9" s="51">
        <v>6</v>
      </c>
      <c r="B9" s="326"/>
      <c r="C9" s="271" t="s">
        <v>1242</v>
      </c>
      <c r="D9" s="271" t="s">
        <v>1243</v>
      </c>
    </row>
    <row r="10" spans="1:6" ht="19.8">
      <c r="A10" s="51">
        <v>7</v>
      </c>
      <c r="B10" s="326" t="s">
        <v>1253</v>
      </c>
      <c r="C10" s="271" t="s">
        <v>1248</v>
      </c>
      <c r="D10" s="271" t="s">
        <v>1237</v>
      </c>
    </row>
    <row r="11" spans="1:6" ht="19.8">
      <c r="A11" s="51">
        <v>8</v>
      </c>
      <c r="B11" s="326"/>
      <c r="C11" s="271" t="s">
        <v>1249</v>
      </c>
      <c r="D11" s="271" t="s">
        <v>1239</v>
      </c>
    </row>
    <row r="12" spans="1:6" ht="19.8">
      <c r="A12" s="51">
        <v>9</v>
      </c>
      <c r="B12" s="326"/>
      <c r="C12" s="271" t="s">
        <v>1250</v>
      </c>
      <c r="D12" s="271">
        <v>7</v>
      </c>
    </row>
    <row r="13" spans="1:6" ht="19.8">
      <c r="A13" s="51">
        <v>10</v>
      </c>
      <c r="B13" s="326"/>
      <c r="C13" s="271" t="s">
        <v>1251</v>
      </c>
      <c r="D13" s="271" t="s">
        <v>1244</v>
      </c>
    </row>
    <row r="14" spans="1:6" ht="19.8">
      <c r="A14" s="51">
        <v>11</v>
      </c>
      <c r="B14" s="326"/>
      <c r="C14" s="271" t="s">
        <v>1252</v>
      </c>
      <c r="D14" s="271" t="s">
        <v>1241</v>
      </c>
    </row>
    <row r="15" spans="1:6" ht="19.8">
      <c r="A15" s="51">
        <v>12</v>
      </c>
      <c r="B15" s="326"/>
      <c r="C15" s="271" t="s">
        <v>1254</v>
      </c>
      <c r="D15" s="271"/>
    </row>
    <row r="16" spans="1:6" ht="19.8">
      <c r="A16" s="51">
        <v>13</v>
      </c>
      <c r="B16" s="326" t="s">
        <v>1255</v>
      </c>
      <c r="C16" s="271" t="s">
        <v>1248</v>
      </c>
      <c r="D16" s="271" t="s">
        <v>1245</v>
      </c>
    </row>
    <row r="17" spans="1:4" ht="19.8">
      <c r="A17" s="51">
        <v>14</v>
      </c>
      <c r="B17" s="326"/>
      <c r="C17" s="271" t="s">
        <v>1249</v>
      </c>
      <c r="D17" s="271" t="s">
        <v>1246</v>
      </c>
    </row>
    <row r="18" spans="1:4" ht="19.8">
      <c r="A18" s="51">
        <v>15</v>
      </c>
      <c r="B18" s="326"/>
      <c r="C18" s="271" t="s">
        <v>1250</v>
      </c>
      <c r="D18" s="271"/>
    </row>
    <row r="19" spans="1:4" ht="19.8">
      <c r="A19" s="51">
        <v>16</v>
      </c>
      <c r="B19" s="326"/>
      <c r="C19" s="271" t="s">
        <v>1251</v>
      </c>
      <c r="D19" s="271"/>
    </row>
    <row r="20" spans="1:4" ht="19.8">
      <c r="A20" s="51">
        <v>17</v>
      </c>
      <c r="B20" s="326"/>
      <c r="C20" s="271" t="s">
        <v>1252</v>
      </c>
      <c r="D20" s="271"/>
    </row>
    <row r="21" spans="1:4" ht="19.8">
      <c r="A21" s="51">
        <v>18</v>
      </c>
      <c r="B21" s="326" t="s">
        <v>1256</v>
      </c>
      <c r="C21" s="271" t="s">
        <v>1248</v>
      </c>
      <c r="D21" s="271" t="s">
        <v>1236</v>
      </c>
    </row>
    <row r="22" spans="1:4" ht="19.8">
      <c r="A22" s="51">
        <v>19</v>
      </c>
      <c r="B22" s="326"/>
      <c r="C22" s="271" t="s">
        <v>1249</v>
      </c>
      <c r="D22" s="271"/>
    </row>
    <row r="23" spans="1:4" ht="19.8">
      <c r="A23" s="51">
        <v>20</v>
      </c>
      <c r="B23" s="326"/>
      <c r="C23" s="271" t="s">
        <v>1250</v>
      </c>
      <c r="D23" s="271"/>
    </row>
    <row r="24" spans="1:4" ht="19.8">
      <c r="A24" s="51">
        <v>21</v>
      </c>
      <c r="B24" s="326"/>
      <c r="C24" s="271" t="s">
        <v>1251</v>
      </c>
      <c r="D24" s="271"/>
    </row>
    <row r="25" spans="1:4" ht="19.8">
      <c r="A25" s="51">
        <v>22</v>
      </c>
      <c r="B25" s="326"/>
      <c r="C25" s="271" t="s">
        <v>1252</v>
      </c>
      <c r="D25" s="271"/>
    </row>
  </sheetData>
  <mergeCells count="4">
    <mergeCell ref="B4:B9"/>
    <mergeCell ref="B10:B15"/>
    <mergeCell ref="B16:B20"/>
    <mergeCell ref="B21:B25"/>
  </mergeCells>
  <phoneticPr fontId="1" type="noConversion"/>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heetViews>
  <sheetFormatPr defaultRowHeight="16.2"/>
  <cols>
    <col min="2" max="2" width="20.21875" bestFit="1" customWidth="1"/>
    <col min="3" max="3" width="14.6640625" bestFit="1" customWidth="1"/>
    <col min="4" max="5" width="11.88671875" bestFit="1" customWidth="1"/>
  </cols>
  <sheetData>
    <row r="1" spans="1:5" ht="22.2">
      <c r="A1" s="220" t="s">
        <v>1039</v>
      </c>
      <c r="B1" s="184"/>
      <c r="C1" s="2"/>
      <c r="D1" s="186"/>
      <c r="E1" s="186"/>
    </row>
    <row r="2" spans="1:5" ht="22.2">
      <c r="A2" s="184"/>
      <c r="B2" s="184"/>
      <c r="C2" s="2"/>
      <c r="D2" s="186"/>
      <c r="E2" s="186"/>
    </row>
    <row r="3" spans="1:5" ht="19.8">
      <c r="A3" s="269" t="s">
        <v>248</v>
      </c>
      <c r="B3" s="282" t="s">
        <v>1258</v>
      </c>
      <c r="C3" s="269" t="s">
        <v>249</v>
      </c>
      <c r="D3" s="50" t="s">
        <v>1259</v>
      </c>
    </row>
    <row r="4" spans="1:5" ht="19.8">
      <c r="A4" s="51">
        <v>1</v>
      </c>
      <c r="B4" s="326" t="s">
        <v>1247</v>
      </c>
      <c r="C4" s="271" t="s">
        <v>1248</v>
      </c>
      <c r="D4" s="195"/>
    </row>
    <row r="5" spans="1:5" ht="19.8">
      <c r="A5" s="51">
        <v>2</v>
      </c>
      <c r="B5" s="326"/>
      <c r="C5" s="271" t="s">
        <v>1249</v>
      </c>
      <c r="D5" s="195"/>
    </row>
    <row r="6" spans="1:5" ht="19.8">
      <c r="A6" s="51">
        <v>3</v>
      </c>
      <c r="B6" s="326"/>
      <c r="C6" s="271" t="s">
        <v>1250</v>
      </c>
      <c r="D6" s="195"/>
    </row>
    <row r="7" spans="1:5" ht="19.8">
      <c r="A7" s="51">
        <v>4</v>
      </c>
      <c r="B7" s="326"/>
      <c r="C7" s="271" t="s">
        <v>1251</v>
      </c>
      <c r="D7" s="195"/>
    </row>
    <row r="8" spans="1:5" ht="19.8">
      <c r="A8" s="51">
        <v>5</v>
      </c>
      <c r="B8" s="326"/>
      <c r="C8" s="271" t="s">
        <v>1252</v>
      </c>
      <c r="D8" s="195"/>
    </row>
    <row r="9" spans="1:5" ht="22.2">
      <c r="A9" s="51">
        <v>6</v>
      </c>
      <c r="B9" s="326"/>
      <c r="C9" s="271" t="s">
        <v>1242</v>
      </c>
      <c r="D9" s="14"/>
      <c r="E9" s="182"/>
    </row>
    <row r="10" spans="1:5" ht="22.2">
      <c r="A10" s="51">
        <v>7</v>
      </c>
      <c r="B10" s="326" t="s">
        <v>1253</v>
      </c>
      <c r="C10" s="271" t="s">
        <v>1248</v>
      </c>
      <c r="D10" s="14"/>
      <c r="E10" s="182"/>
    </row>
    <row r="11" spans="1:5" ht="22.2">
      <c r="A11" s="51">
        <v>8</v>
      </c>
      <c r="B11" s="326"/>
      <c r="C11" s="271" t="s">
        <v>1249</v>
      </c>
      <c r="D11" s="14"/>
      <c r="E11" s="182"/>
    </row>
    <row r="12" spans="1:5" ht="22.2">
      <c r="A12" s="51">
        <v>9</v>
      </c>
      <c r="B12" s="326"/>
      <c r="C12" s="271" t="s">
        <v>1250</v>
      </c>
      <c r="D12" s="14"/>
      <c r="E12" s="182"/>
    </row>
    <row r="13" spans="1:5" ht="22.2">
      <c r="A13" s="51">
        <v>10</v>
      </c>
      <c r="B13" s="326"/>
      <c r="C13" s="271" t="s">
        <v>1251</v>
      </c>
      <c r="D13" s="14"/>
      <c r="E13" s="182"/>
    </row>
    <row r="14" spans="1:5" ht="22.2">
      <c r="A14" s="51">
        <v>11</v>
      </c>
      <c r="B14" s="326"/>
      <c r="C14" s="271" t="s">
        <v>1252</v>
      </c>
      <c r="D14" s="14"/>
      <c r="E14" s="182"/>
    </row>
    <row r="15" spans="1:5" ht="22.2">
      <c r="A15" s="51">
        <v>12</v>
      </c>
      <c r="B15" s="326"/>
      <c r="C15" s="271" t="s">
        <v>1254</v>
      </c>
      <c r="D15" s="14"/>
      <c r="E15" s="182"/>
    </row>
    <row r="16" spans="1:5" ht="22.2">
      <c r="A16" s="51">
        <v>13</v>
      </c>
      <c r="B16" s="326" t="s">
        <v>1255</v>
      </c>
      <c r="C16" s="271" t="s">
        <v>1248</v>
      </c>
      <c r="D16" s="14"/>
      <c r="E16" s="182"/>
    </row>
    <row r="17" spans="1:4" ht="19.8">
      <c r="A17" s="51">
        <v>14</v>
      </c>
      <c r="B17" s="326"/>
      <c r="C17" s="271" t="s">
        <v>1249</v>
      </c>
      <c r="D17" s="270"/>
    </row>
    <row r="18" spans="1:4" ht="19.8">
      <c r="A18" s="51">
        <v>15</v>
      </c>
      <c r="B18" s="326"/>
      <c r="C18" s="271" t="s">
        <v>1250</v>
      </c>
      <c r="D18" s="270"/>
    </row>
    <row r="19" spans="1:4" ht="19.8">
      <c r="A19" s="51">
        <v>16</v>
      </c>
      <c r="B19" s="326"/>
      <c r="C19" s="271" t="s">
        <v>1251</v>
      </c>
      <c r="D19" s="270"/>
    </row>
    <row r="20" spans="1:4" ht="19.8">
      <c r="A20" s="51">
        <v>17</v>
      </c>
      <c r="B20" s="326"/>
      <c r="C20" s="271" t="s">
        <v>1252</v>
      </c>
      <c r="D20" s="270"/>
    </row>
    <row r="21" spans="1:4" ht="19.8">
      <c r="A21" s="51">
        <v>18</v>
      </c>
      <c r="B21" s="326" t="s">
        <v>1256</v>
      </c>
      <c r="C21" s="271" t="s">
        <v>1248</v>
      </c>
      <c r="D21" s="270"/>
    </row>
    <row r="22" spans="1:4" ht="19.8">
      <c r="A22" s="51">
        <v>19</v>
      </c>
      <c r="B22" s="326"/>
      <c r="C22" s="271" t="s">
        <v>1249</v>
      </c>
      <c r="D22" s="270"/>
    </row>
    <row r="23" spans="1:4" ht="19.8">
      <c r="A23" s="51">
        <v>20</v>
      </c>
      <c r="B23" s="326"/>
      <c r="C23" s="271" t="s">
        <v>1250</v>
      </c>
      <c r="D23" s="270"/>
    </row>
    <row r="24" spans="1:4" ht="19.8">
      <c r="A24" s="51">
        <v>21</v>
      </c>
      <c r="B24" s="326"/>
      <c r="C24" s="271" t="s">
        <v>1251</v>
      </c>
      <c r="D24" s="270"/>
    </row>
    <row r="25" spans="1:4" ht="19.8">
      <c r="A25" s="51">
        <v>22</v>
      </c>
      <c r="B25" s="326"/>
      <c r="C25" s="271" t="s">
        <v>1252</v>
      </c>
      <c r="D25" s="270"/>
    </row>
  </sheetData>
  <mergeCells count="4">
    <mergeCell ref="B4:B9"/>
    <mergeCell ref="B10:B15"/>
    <mergeCell ref="B16:B20"/>
    <mergeCell ref="B21:B25"/>
  </mergeCells>
  <phoneticPr fontId="1" type="noConversion"/>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election activeCell="A12" sqref="A12"/>
    </sheetView>
  </sheetViews>
  <sheetFormatPr defaultRowHeight="16.2"/>
  <cols>
    <col min="1" max="2" width="18.77734375" customWidth="1"/>
  </cols>
  <sheetData>
    <row r="1" spans="1:5" s="32" customFormat="1" ht="22.2">
      <c r="A1" s="321" t="s">
        <v>1019</v>
      </c>
      <c r="B1" s="321"/>
      <c r="C1" s="321"/>
    </row>
    <row r="2" spans="1:5">
      <c r="A2" s="212"/>
      <c r="B2" s="212"/>
      <c r="C2" s="212"/>
    </row>
    <row r="3" spans="1:5" ht="22.2">
      <c r="A3" s="218" t="s">
        <v>1020</v>
      </c>
      <c r="B3" s="218" t="s">
        <v>1021</v>
      </c>
      <c r="C3" s="212"/>
    </row>
    <row r="4" spans="1:5" ht="22.2">
      <c r="A4" s="218" t="s">
        <v>1022</v>
      </c>
      <c r="B4" s="219" t="s">
        <v>1023</v>
      </c>
      <c r="C4" s="219"/>
      <c r="D4" s="44"/>
      <c r="E4" s="44"/>
    </row>
    <row r="5" spans="1:5" ht="22.2">
      <c r="A5" s="218" t="s">
        <v>1024</v>
      </c>
      <c r="B5" s="218" t="s">
        <v>1025</v>
      </c>
      <c r="C5" s="208"/>
      <c r="D5" s="43"/>
      <c r="E5" s="43"/>
    </row>
    <row r="6" spans="1:5" ht="22.2">
      <c r="A6" s="218" t="s">
        <v>1026</v>
      </c>
      <c r="B6" s="218" t="s">
        <v>1027</v>
      </c>
      <c r="C6" s="208"/>
      <c r="D6" s="43"/>
      <c r="E6" s="43"/>
    </row>
    <row r="7" spans="1:5" ht="22.2">
      <c r="A7" s="218" t="s">
        <v>1028</v>
      </c>
      <c r="B7" s="218" t="s">
        <v>1029</v>
      </c>
      <c r="C7" s="208"/>
      <c r="D7" s="43"/>
      <c r="E7" s="43"/>
    </row>
    <row r="8" spans="1:5" ht="22.2">
      <c r="A8" s="218" t="s">
        <v>1030</v>
      </c>
      <c r="B8" s="218" t="s">
        <v>1031</v>
      </c>
      <c r="C8" s="208"/>
      <c r="D8" s="43"/>
      <c r="E8" s="43"/>
    </row>
    <row r="9" spans="1:5" ht="22.2">
      <c r="A9" s="218" t="s">
        <v>1032</v>
      </c>
      <c r="B9" s="218" t="s">
        <v>1033</v>
      </c>
      <c r="C9" s="208"/>
      <c r="D9" s="43"/>
      <c r="E9" s="43"/>
    </row>
    <row r="10" spans="1:5" ht="22.2">
      <c r="A10" s="218" t="s">
        <v>1034</v>
      </c>
      <c r="B10" s="208"/>
      <c r="C10" s="208"/>
      <c r="D10" s="43"/>
      <c r="E10" s="43"/>
    </row>
    <row r="11" spans="1:5" ht="22.2">
      <c r="A11" s="219" t="s">
        <v>1035</v>
      </c>
      <c r="B11" s="208"/>
      <c r="C11" s="208"/>
      <c r="D11" s="43"/>
      <c r="E11" s="43"/>
    </row>
    <row r="12" spans="1:5" ht="22.2">
      <c r="A12" s="218" t="s">
        <v>1036</v>
      </c>
      <c r="B12" s="208"/>
      <c r="C12" s="208"/>
      <c r="D12" s="43"/>
      <c r="E12" s="43"/>
    </row>
    <row r="13" spans="1:5" ht="22.2">
      <c r="A13" s="218" t="s">
        <v>1037</v>
      </c>
      <c r="B13" s="208"/>
      <c r="C13" s="208"/>
      <c r="D13" s="43"/>
      <c r="E13" s="43"/>
    </row>
    <row r="14" spans="1:5" ht="22.2">
      <c r="A14" s="218" t="s">
        <v>1038</v>
      </c>
      <c r="B14" s="208"/>
      <c r="C14" s="208"/>
      <c r="D14" s="43"/>
      <c r="E14" s="43"/>
    </row>
    <row r="15" spans="1:5" ht="22.2">
      <c r="A15" s="212"/>
      <c r="B15" s="208"/>
      <c r="C15" s="208"/>
      <c r="D15" s="43"/>
      <c r="E15" s="43"/>
    </row>
    <row r="16" spans="1:5" ht="22.2">
      <c r="B16" s="43"/>
      <c r="C16" s="43"/>
      <c r="D16" s="43"/>
      <c r="E16" s="43"/>
    </row>
    <row r="17" spans="2:5" ht="22.2">
      <c r="B17" s="43"/>
      <c r="C17" s="43"/>
      <c r="D17" s="43"/>
      <c r="E17" s="43"/>
    </row>
  </sheetData>
  <mergeCells count="1">
    <mergeCell ref="A1:C1"/>
  </mergeCells>
  <phoneticPr fontId="1" type="noConversion"/>
  <hyperlinks>
    <hyperlink ref="B4" location="'B222'!A1" display="B222.宜蘭縣"/>
    <hyperlink ref="A11" location="'B221'!A1" display="B221.嘉義縣"/>
  </hyperlinks>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68"/>
  <sheetViews>
    <sheetView topLeftCell="A11" zoomScaleNormal="100" workbookViewId="0">
      <selection activeCell="O9" sqref="O9"/>
    </sheetView>
  </sheetViews>
  <sheetFormatPr defaultRowHeight="16.2"/>
  <cols>
    <col min="2" max="2" width="11" customWidth="1"/>
    <col min="3" max="3" width="14.77734375" customWidth="1"/>
    <col min="4" max="4" width="14.21875" customWidth="1"/>
    <col min="5" max="5" width="11.88671875" bestFit="1" customWidth="1"/>
    <col min="6" max="6" width="10.21875" customWidth="1"/>
    <col min="7" max="7" width="11.109375" customWidth="1"/>
    <col min="8" max="8" width="11" customWidth="1"/>
    <col min="9" max="9" width="12.109375" customWidth="1"/>
    <col min="10" max="10" width="9.88671875" customWidth="1"/>
    <col min="11" max="11" width="12.109375" customWidth="1"/>
    <col min="12" max="12" width="13.77734375" customWidth="1"/>
    <col min="13" max="13" width="10.77734375" customWidth="1"/>
    <col min="14" max="14" width="15.21875" customWidth="1"/>
  </cols>
  <sheetData>
    <row r="1" spans="1:9" ht="22.2">
      <c r="A1" s="217" t="s">
        <v>1018</v>
      </c>
    </row>
    <row r="2" spans="1:9" ht="19.8">
      <c r="B2" s="328" t="s">
        <v>750</v>
      </c>
      <c r="C2" s="328"/>
      <c r="D2" s="29">
        <v>12</v>
      </c>
      <c r="E2" s="28" t="s">
        <v>751</v>
      </c>
      <c r="F2" s="29">
        <v>526</v>
      </c>
      <c r="G2" s="30" t="s">
        <v>71</v>
      </c>
      <c r="H2" s="42" t="s">
        <v>169</v>
      </c>
      <c r="I2" s="32"/>
    </row>
    <row r="3" spans="1:9" ht="22.2">
      <c r="A3" s="41"/>
      <c r="B3" s="328" t="s">
        <v>72</v>
      </c>
      <c r="C3" s="328"/>
      <c r="D3" s="33" t="s">
        <v>250</v>
      </c>
      <c r="E3" s="33" t="s">
        <v>251</v>
      </c>
      <c r="F3" s="33" t="s">
        <v>253</v>
      </c>
      <c r="G3" s="30"/>
      <c r="H3" s="31"/>
      <c r="I3" s="32"/>
    </row>
    <row r="4" spans="1:9" ht="22.2">
      <c r="A4" s="41"/>
      <c r="B4" s="328" t="s">
        <v>77</v>
      </c>
      <c r="C4" s="328"/>
      <c r="D4" s="33" t="s">
        <v>252</v>
      </c>
      <c r="E4" s="28" t="s">
        <v>85</v>
      </c>
      <c r="F4" s="33" t="s">
        <v>254</v>
      </c>
      <c r="G4" s="33"/>
      <c r="H4" s="31"/>
      <c r="I4" s="32"/>
    </row>
    <row r="5" spans="1:9" ht="22.2">
      <c r="A5" s="54"/>
      <c r="B5" s="328" t="s">
        <v>261</v>
      </c>
      <c r="C5" s="328"/>
      <c r="D5" s="29">
        <v>3</v>
      </c>
      <c r="E5" s="28" t="s">
        <v>265</v>
      </c>
      <c r="F5" s="33"/>
      <c r="G5" s="33"/>
      <c r="H5" s="31"/>
      <c r="I5" s="32"/>
    </row>
    <row r="6" spans="1:9" ht="61.5" customHeight="1">
      <c r="B6" s="329" t="s">
        <v>167</v>
      </c>
      <c r="C6" s="329"/>
      <c r="D6" s="329"/>
      <c r="E6" s="329"/>
      <c r="F6" s="329"/>
      <c r="G6" s="329"/>
    </row>
    <row r="7" spans="1:9" ht="60" customHeight="1" thickBot="1">
      <c r="B7" s="330" t="s">
        <v>1282</v>
      </c>
      <c r="C7" s="330"/>
      <c r="D7" s="330"/>
      <c r="E7" s="330"/>
      <c r="F7" s="330"/>
      <c r="G7" s="330"/>
    </row>
    <row r="8" spans="1:9" ht="40.200000000000003" thickBot="1">
      <c r="B8" s="3" t="s">
        <v>2</v>
      </c>
      <c r="C8" s="3" t="s">
        <v>3</v>
      </c>
      <c r="D8" s="3" t="s">
        <v>4</v>
      </c>
      <c r="E8" s="3" t="s">
        <v>5</v>
      </c>
      <c r="F8" s="3" t="s">
        <v>6</v>
      </c>
    </row>
    <row r="9" spans="1:9" ht="18.600000000000001" thickBot="1">
      <c r="B9" s="4">
        <v>3</v>
      </c>
      <c r="C9" s="4">
        <v>29</v>
      </c>
      <c r="D9" s="4">
        <v>11</v>
      </c>
      <c r="E9" s="4">
        <v>13</v>
      </c>
      <c r="F9" s="4">
        <v>5</v>
      </c>
    </row>
    <row r="10" spans="1:9" ht="18.600000000000001" thickBot="1">
      <c r="B10" s="4">
        <v>4</v>
      </c>
      <c r="C10" s="4">
        <v>17</v>
      </c>
      <c r="D10" s="4">
        <v>7</v>
      </c>
      <c r="E10" s="4">
        <v>5</v>
      </c>
      <c r="F10" s="4">
        <v>6</v>
      </c>
    </row>
    <row r="11" spans="1:9" ht="18.600000000000001" thickBot="1">
      <c r="B11" s="4">
        <v>9</v>
      </c>
      <c r="C11" s="4">
        <v>16</v>
      </c>
      <c r="D11" s="4">
        <v>1</v>
      </c>
      <c r="E11" s="4">
        <v>8</v>
      </c>
      <c r="F11" s="4">
        <v>7</v>
      </c>
    </row>
    <row r="12" spans="1:9" ht="18.600000000000001" thickBot="1">
      <c r="B12" s="4">
        <v>7</v>
      </c>
      <c r="C12" s="4">
        <v>9</v>
      </c>
      <c r="D12" s="4">
        <v>2</v>
      </c>
      <c r="E12" s="4">
        <v>4</v>
      </c>
      <c r="F12" s="4">
        <v>3</v>
      </c>
    </row>
    <row r="13" spans="1:9" ht="18.600000000000001" thickBot="1">
      <c r="B13" s="4">
        <v>5</v>
      </c>
      <c r="C13" s="4">
        <v>29</v>
      </c>
      <c r="D13" s="4">
        <v>15</v>
      </c>
      <c r="E13" s="4">
        <v>11</v>
      </c>
      <c r="F13" s="4">
        <v>3</v>
      </c>
    </row>
    <row r="14" spans="1:9" ht="18.600000000000001" thickBot="1">
      <c r="B14" s="4">
        <v>2</v>
      </c>
      <c r="C14" s="4">
        <v>30</v>
      </c>
      <c r="D14" s="4">
        <v>17</v>
      </c>
      <c r="E14" s="4">
        <v>8</v>
      </c>
      <c r="F14" s="4">
        <v>5</v>
      </c>
    </row>
    <row r="15" spans="1:9" ht="61.5" customHeight="1">
      <c r="B15" s="331" t="s">
        <v>264</v>
      </c>
      <c r="C15" s="330"/>
      <c r="D15" s="330"/>
      <c r="E15" s="330"/>
      <c r="F15" s="330"/>
      <c r="G15" s="330"/>
    </row>
    <row r="16" spans="1:9" ht="61.5" customHeight="1">
      <c r="B16" s="331" t="s">
        <v>224</v>
      </c>
      <c r="C16" s="331"/>
      <c r="D16" s="331"/>
      <c r="E16" s="331"/>
      <c r="F16" s="331"/>
      <c r="G16" s="331"/>
    </row>
    <row r="17" spans="2:9" ht="19.8">
      <c r="B17" s="330" t="s">
        <v>168</v>
      </c>
      <c r="C17" s="330"/>
      <c r="D17" s="330"/>
      <c r="E17" s="330"/>
      <c r="F17" s="330"/>
      <c r="G17" s="330"/>
    </row>
    <row r="18" spans="2:9" ht="32.4">
      <c r="B18" s="8" t="s">
        <v>8</v>
      </c>
      <c r="C18" s="8" t="s">
        <v>47</v>
      </c>
      <c r="D18" s="8" t="s">
        <v>48</v>
      </c>
      <c r="E18" s="8" t="s">
        <v>10</v>
      </c>
      <c r="F18" s="9" t="s">
        <v>50</v>
      </c>
      <c r="G18" s="9" t="s">
        <v>51</v>
      </c>
      <c r="H18" s="9" t="s">
        <v>52</v>
      </c>
      <c r="I18" s="9" t="s">
        <v>53</v>
      </c>
    </row>
    <row r="19" spans="2:9">
      <c r="B19" s="7">
        <v>2016</v>
      </c>
      <c r="C19" s="46" t="s">
        <v>230</v>
      </c>
      <c r="D19" s="7" t="s">
        <v>170</v>
      </c>
      <c r="E19" s="7" t="s">
        <v>171</v>
      </c>
      <c r="F19" s="7">
        <v>940</v>
      </c>
      <c r="G19" s="7">
        <v>45</v>
      </c>
      <c r="H19" s="7">
        <v>250</v>
      </c>
      <c r="I19" s="7">
        <v>100</v>
      </c>
    </row>
    <row r="20" spans="2:9">
      <c r="B20" s="7">
        <v>2015</v>
      </c>
      <c r="C20" s="46" t="s">
        <v>229</v>
      </c>
      <c r="D20" s="7" t="s">
        <v>172</v>
      </c>
      <c r="E20" s="7" t="s">
        <v>171</v>
      </c>
      <c r="F20" s="7">
        <v>930</v>
      </c>
      <c r="G20" s="7">
        <v>48</v>
      </c>
      <c r="H20" s="7">
        <v>300</v>
      </c>
      <c r="I20" s="7">
        <v>100</v>
      </c>
    </row>
    <row r="21" spans="2:9">
      <c r="B21" s="7">
        <v>2014</v>
      </c>
      <c r="C21" s="7" t="s">
        <v>173</v>
      </c>
      <c r="D21" s="7" t="s">
        <v>174</v>
      </c>
      <c r="E21" s="7" t="s">
        <v>171</v>
      </c>
      <c r="F21" s="7">
        <v>960</v>
      </c>
      <c r="G21" s="7">
        <v>38</v>
      </c>
      <c r="H21" s="7">
        <v>200</v>
      </c>
      <c r="I21" s="7">
        <v>80</v>
      </c>
    </row>
    <row r="22" spans="2:9">
      <c r="B22" s="7">
        <v>2009</v>
      </c>
      <c r="C22" s="46" t="s">
        <v>241</v>
      </c>
      <c r="D22" s="7" t="s">
        <v>175</v>
      </c>
      <c r="E22" s="7" t="s">
        <v>171</v>
      </c>
      <c r="F22" s="7">
        <v>955</v>
      </c>
      <c r="G22" s="7">
        <v>40</v>
      </c>
      <c r="H22" s="7">
        <v>250</v>
      </c>
      <c r="I22" s="7">
        <v>100</v>
      </c>
    </row>
    <row r="23" spans="2:9">
      <c r="B23" s="7">
        <v>2008</v>
      </c>
      <c r="C23" s="7" t="s">
        <v>176</v>
      </c>
      <c r="D23" s="7" t="s">
        <v>177</v>
      </c>
      <c r="E23" s="7" t="s">
        <v>171</v>
      </c>
      <c r="F23" s="7">
        <v>948</v>
      </c>
      <c r="G23" s="7">
        <v>43</v>
      </c>
      <c r="H23" s="7">
        <v>220</v>
      </c>
      <c r="I23" s="7">
        <v>80</v>
      </c>
    </row>
    <row r="24" spans="2:9">
      <c r="B24" s="7">
        <v>2007</v>
      </c>
      <c r="C24" s="46" t="s">
        <v>232</v>
      </c>
      <c r="D24" s="7" t="s">
        <v>178</v>
      </c>
      <c r="E24" s="7" t="s">
        <v>179</v>
      </c>
      <c r="F24" s="7">
        <v>920</v>
      </c>
      <c r="G24" s="7">
        <v>53</v>
      </c>
      <c r="H24" s="7">
        <v>250</v>
      </c>
      <c r="I24" s="7">
        <v>100</v>
      </c>
    </row>
    <row r="25" spans="2:9">
      <c r="B25" s="7">
        <v>2007</v>
      </c>
      <c r="C25" s="7" t="s">
        <v>180</v>
      </c>
      <c r="D25" s="7" t="s">
        <v>181</v>
      </c>
      <c r="E25" s="7" t="s">
        <v>182</v>
      </c>
      <c r="F25" s="7">
        <v>992</v>
      </c>
      <c r="G25" s="7">
        <v>18</v>
      </c>
      <c r="H25" s="7">
        <v>100</v>
      </c>
      <c r="I25" s="7" t="s">
        <v>54</v>
      </c>
    </row>
    <row r="26" spans="2:9">
      <c r="B26" s="7">
        <v>2006</v>
      </c>
      <c r="C26" s="7" t="s">
        <v>183</v>
      </c>
      <c r="D26" s="7" t="s">
        <v>184</v>
      </c>
      <c r="E26" s="7" t="s">
        <v>171</v>
      </c>
      <c r="F26" s="7">
        <v>960</v>
      </c>
      <c r="G26" s="7">
        <v>38</v>
      </c>
      <c r="H26" s="7">
        <v>200</v>
      </c>
      <c r="I26" s="7">
        <v>80</v>
      </c>
    </row>
    <row r="27" spans="2:9">
      <c r="B27" s="7">
        <v>2005</v>
      </c>
      <c r="C27" s="7" t="s">
        <v>185</v>
      </c>
      <c r="D27" s="7" t="s">
        <v>186</v>
      </c>
      <c r="E27" s="7" t="s">
        <v>179</v>
      </c>
      <c r="F27" s="7">
        <v>925</v>
      </c>
      <c r="G27" s="7">
        <v>51</v>
      </c>
      <c r="H27" s="7">
        <v>200</v>
      </c>
      <c r="I27" s="7">
        <v>80</v>
      </c>
    </row>
    <row r="28" spans="2:9">
      <c r="B28" s="7">
        <v>2005</v>
      </c>
      <c r="C28" s="46" t="s">
        <v>237</v>
      </c>
      <c r="D28" s="7" t="s">
        <v>187</v>
      </c>
      <c r="E28" s="7" t="s">
        <v>179</v>
      </c>
      <c r="F28" s="7">
        <v>920</v>
      </c>
      <c r="G28" s="7">
        <v>53</v>
      </c>
      <c r="H28" s="7">
        <v>250</v>
      </c>
      <c r="I28" s="7">
        <v>100</v>
      </c>
    </row>
    <row r="29" spans="2:9">
      <c r="B29" s="7">
        <v>2005</v>
      </c>
      <c r="C29" s="7" t="s">
        <v>188</v>
      </c>
      <c r="D29" s="7" t="s">
        <v>189</v>
      </c>
      <c r="E29" s="7" t="s">
        <v>179</v>
      </c>
      <c r="F29" s="7">
        <v>912</v>
      </c>
      <c r="G29" s="7">
        <v>55</v>
      </c>
      <c r="H29" s="7">
        <v>280</v>
      </c>
      <c r="I29" s="7">
        <v>120</v>
      </c>
    </row>
    <row r="30" spans="2:9">
      <c r="B30" s="7">
        <v>2001</v>
      </c>
      <c r="C30" s="7" t="s">
        <v>190</v>
      </c>
      <c r="D30" s="7" t="s">
        <v>191</v>
      </c>
      <c r="E30" s="7" t="s">
        <v>171</v>
      </c>
      <c r="F30" s="7">
        <v>962</v>
      </c>
      <c r="G30" s="7">
        <v>38</v>
      </c>
      <c r="H30" s="7">
        <v>250</v>
      </c>
      <c r="I30" s="7">
        <v>100</v>
      </c>
    </row>
    <row r="31" spans="2:9">
      <c r="B31" s="7">
        <v>2000</v>
      </c>
      <c r="C31" s="46" t="s">
        <v>233</v>
      </c>
      <c r="D31" s="7" t="s">
        <v>40</v>
      </c>
      <c r="E31" s="7" t="s">
        <v>179</v>
      </c>
      <c r="F31" s="7">
        <v>930</v>
      </c>
      <c r="G31" s="7">
        <v>53</v>
      </c>
      <c r="H31" s="7">
        <v>300</v>
      </c>
      <c r="I31" s="7">
        <v>120</v>
      </c>
    </row>
    <row r="32" spans="2:9">
      <c r="B32" s="7">
        <v>1998</v>
      </c>
      <c r="C32" s="7" t="s">
        <v>192</v>
      </c>
      <c r="D32" s="7" t="s">
        <v>193</v>
      </c>
      <c r="E32" s="7" t="s">
        <v>182</v>
      </c>
      <c r="F32" s="7">
        <v>985</v>
      </c>
      <c r="G32" s="7">
        <v>30</v>
      </c>
      <c r="H32" s="7">
        <v>150</v>
      </c>
      <c r="I32" s="7" t="s">
        <v>54</v>
      </c>
    </row>
    <row r="33" spans="2:9">
      <c r="B33" s="7">
        <v>1997</v>
      </c>
      <c r="C33" s="7" t="s">
        <v>194</v>
      </c>
      <c r="D33" s="7" t="s">
        <v>195</v>
      </c>
      <c r="E33" s="7" t="s">
        <v>171</v>
      </c>
      <c r="F33" s="7">
        <v>945</v>
      </c>
      <c r="G33" s="7">
        <v>48</v>
      </c>
      <c r="H33" s="7">
        <v>250</v>
      </c>
      <c r="I33" s="7">
        <v>100</v>
      </c>
    </row>
    <row r="34" spans="2:9">
      <c r="B34" s="7">
        <v>1994</v>
      </c>
      <c r="C34" s="7" t="s">
        <v>196</v>
      </c>
      <c r="D34" s="7" t="s">
        <v>197</v>
      </c>
      <c r="E34" s="7" t="s">
        <v>182</v>
      </c>
      <c r="F34" s="7">
        <v>987</v>
      </c>
      <c r="G34" s="7">
        <v>25</v>
      </c>
      <c r="H34" s="7">
        <v>120</v>
      </c>
      <c r="I34" s="7" t="s">
        <v>54</v>
      </c>
    </row>
    <row r="35" spans="2:9">
      <c r="B35" s="7">
        <v>1994</v>
      </c>
      <c r="C35" s="7" t="s">
        <v>198</v>
      </c>
      <c r="D35" s="7" t="s">
        <v>199</v>
      </c>
      <c r="E35" s="7" t="s">
        <v>179</v>
      </c>
      <c r="F35" s="7">
        <v>945</v>
      </c>
      <c r="G35" s="7">
        <v>53</v>
      </c>
      <c r="H35" s="7">
        <v>250</v>
      </c>
      <c r="I35" s="7">
        <v>120</v>
      </c>
    </row>
    <row r="36" spans="2:9">
      <c r="B36" s="7">
        <v>1992</v>
      </c>
      <c r="C36" s="7" t="s">
        <v>200</v>
      </c>
      <c r="D36" s="7" t="s">
        <v>201</v>
      </c>
      <c r="E36" s="7" t="s">
        <v>182</v>
      </c>
      <c r="F36" s="7">
        <v>975</v>
      </c>
      <c r="G36" s="7">
        <v>23</v>
      </c>
      <c r="H36" s="7">
        <v>200</v>
      </c>
      <c r="I36" s="7" t="s">
        <v>54</v>
      </c>
    </row>
    <row r="37" spans="2:9">
      <c r="B37" s="7">
        <v>1992</v>
      </c>
      <c r="C37" s="7" t="s">
        <v>202</v>
      </c>
      <c r="D37" s="7" t="s">
        <v>203</v>
      </c>
      <c r="E37" s="7" t="s">
        <v>171</v>
      </c>
      <c r="F37" s="7">
        <v>945</v>
      </c>
      <c r="G37" s="7">
        <v>40</v>
      </c>
      <c r="H37" s="7">
        <v>200</v>
      </c>
      <c r="I37" s="7">
        <v>100</v>
      </c>
    </row>
    <row r="38" spans="2:9">
      <c r="B38" s="7">
        <v>1990</v>
      </c>
      <c r="C38" s="7" t="s">
        <v>204</v>
      </c>
      <c r="D38" s="7" t="s">
        <v>205</v>
      </c>
      <c r="E38" s="7" t="s">
        <v>171</v>
      </c>
      <c r="F38" s="7">
        <v>960</v>
      </c>
      <c r="G38" s="7">
        <v>38</v>
      </c>
      <c r="H38" s="7">
        <v>350</v>
      </c>
      <c r="I38" s="7">
        <v>100</v>
      </c>
    </row>
    <row r="39" spans="2:9">
      <c r="B39" s="7">
        <v>1989</v>
      </c>
      <c r="C39" s="7" t="s">
        <v>206</v>
      </c>
      <c r="D39" s="7" t="s">
        <v>207</v>
      </c>
      <c r="E39" s="7" t="s">
        <v>179</v>
      </c>
      <c r="F39" s="7">
        <v>952</v>
      </c>
      <c r="G39" s="7">
        <v>51</v>
      </c>
      <c r="H39" s="7">
        <v>300</v>
      </c>
      <c r="I39" s="7">
        <v>150</v>
      </c>
    </row>
    <row r="40" spans="2:9">
      <c r="B40" s="7">
        <v>1986</v>
      </c>
      <c r="C40" s="7" t="s">
        <v>208</v>
      </c>
      <c r="D40" s="7" t="s">
        <v>209</v>
      </c>
      <c r="E40" s="7" t="s">
        <v>179</v>
      </c>
      <c r="F40" s="7">
        <v>943</v>
      </c>
      <c r="G40" s="7">
        <v>51</v>
      </c>
      <c r="H40" s="7">
        <v>400</v>
      </c>
      <c r="I40" s="7">
        <v>200</v>
      </c>
    </row>
    <row r="41" spans="2:9">
      <c r="B41" s="7">
        <v>1978</v>
      </c>
      <c r="C41" s="7" t="s">
        <v>210</v>
      </c>
      <c r="D41" s="7" t="s">
        <v>211</v>
      </c>
      <c r="E41" s="7" t="s">
        <v>182</v>
      </c>
      <c r="F41" s="7">
        <v>993</v>
      </c>
      <c r="G41" s="7">
        <v>20</v>
      </c>
      <c r="H41" s="7">
        <v>150</v>
      </c>
      <c r="I41" s="7" t="s">
        <v>54</v>
      </c>
    </row>
    <row r="42" spans="2:9">
      <c r="B42" s="7">
        <v>1971</v>
      </c>
      <c r="C42" s="7" t="s">
        <v>212</v>
      </c>
      <c r="D42" s="7" t="s">
        <v>213</v>
      </c>
      <c r="E42" s="7" t="s">
        <v>171</v>
      </c>
      <c r="F42" s="7">
        <v>975</v>
      </c>
      <c r="G42" s="7">
        <v>33</v>
      </c>
      <c r="H42" s="7">
        <v>200</v>
      </c>
      <c r="I42" s="7" t="s">
        <v>54</v>
      </c>
    </row>
    <row r="43" spans="2:9">
      <c r="B43" s="7">
        <v>1967</v>
      </c>
      <c r="C43" s="7" t="s">
        <v>214</v>
      </c>
      <c r="D43" s="7" t="s">
        <v>215</v>
      </c>
      <c r="E43" s="7" t="s">
        <v>179</v>
      </c>
      <c r="F43" s="7">
        <v>910</v>
      </c>
      <c r="G43" s="7">
        <v>60</v>
      </c>
      <c r="H43" s="7">
        <v>400</v>
      </c>
      <c r="I43" s="7" t="s">
        <v>54</v>
      </c>
    </row>
    <row r="44" spans="2:9">
      <c r="B44" s="7">
        <v>1967</v>
      </c>
      <c r="C44" s="7" t="s">
        <v>216</v>
      </c>
      <c r="D44" s="7" t="s">
        <v>217</v>
      </c>
      <c r="E44" s="7" t="s">
        <v>171</v>
      </c>
      <c r="F44" s="7">
        <v>960</v>
      </c>
      <c r="G44" s="7">
        <v>40</v>
      </c>
      <c r="H44" s="7">
        <v>200</v>
      </c>
      <c r="I44" s="7" t="s">
        <v>54</v>
      </c>
    </row>
    <row r="45" spans="2:9">
      <c r="B45" s="7">
        <v>1959</v>
      </c>
      <c r="C45" s="7" t="s">
        <v>218</v>
      </c>
      <c r="D45" s="7" t="s">
        <v>219</v>
      </c>
      <c r="E45" s="7" t="s">
        <v>171</v>
      </c>
      <c r="F45" s="7">
        <v>965</v>
      </c>
      <c r="G45" s="7">
        <v>45</v>
      </c>
      <c r="H45" s="7">
        <v>250</v>
      </c>
      <c r="I45" s="7" t="s">
        <v>54</v>
      </c>
    </row>
    <row r="46" spans="2:9">
      <c r="B46" s="7">
        <v>1959</v>
      </c>
      <c r="C46" s="7" t="s">
        <v>220</v>
      </c>
      <c r="D46" s="7" t="s">
        <v>221</v>
      </c>
      <c r="E46" s="7" t="s">
        <v>179</v>
      </c>
      <c r="F46" s="7">
        <v>885</v>
      </c>
      <c r="G46" s="7">
        <v>75</v>
      </c>
      <c r="H46" s="7">
        <v>600</v>
      </c>
      <c r="I46" s="7" t="s">
        <v>54</v>
      </c>
    </row>
    <row r="47" spans="2:9">
      <c r="B47" s="7">
        <v>1958</v>
      </c>
      <c r="C47" s="7" t="s">
        <v>222</v>
      </c>
      <c r="D47" s="7" t="s">
        <v>223</v>
      </c>
      <c r="E47" s="7" t="s">
        <v>179</v>
      </c>
      <c r="F47" s="7">
        <v>925</v>
      </c>
      <c r="G47" s="7">
        <v>50</v>
      </c>
      <c r="H47" s="7">
        <v>350</v>
      </c>
      <c r="I47" s="7" t="s">
        <v>54</v>
      </c>
    </row>
    <row r="49" spans="2:13" ht="19.8">
      <c r="B49" s="327" t="s">
        <v>226</v>
      </c>
      <c r="C49" s="327"/>
      <c r="D49" s="327"/>
      <c r="E49" s="327"/>
      <c r="F49" s="327"/>
      <c r="G49" s="327"/>
    </row>
    <row r="50" spans="2:13" ht="68.25" customHeight="1">
      <c r="B50" s="327" t="s">
        <v>231</v>
      </c>
      <c r="C50" s="327"/>
      <c r="D50" s="327"/>
      <c r="E50" s="327"/>
      <c r="F50" s="327"/>
      <c r="G50" s="327"/>
    </row>
    <row r="51" spans="2:13" ht="68.25" customHeight="1">
      <c r="B51" s="327" t="s">
        <v>236</v>
      </c>
      <c r="C51" s="327"/>
      <c r="D51" s="327"/>
      <c r="E51" s="327"/>
      <c r="F51" s="327"/>
      <c r="G51" s="327"/>
    </row>
    <row r="52" spans="2:13" ht="58.5" customHeight="1">
      <c r="B52" s="327" t="s">
        <v>242</v>
      </c>
      <c r="C52" s="327"/>
      <c r="D52" s="327"/>
      <c r="E52" s="327"/>
      <c r="F52" s="327"/>
      <c r="G52" s="327"/>
    </row>
    <row r="53" spans="2:13">
      <c r="H53" s="199" t="s">
        <v>227</v>
      </c>
      <c r="I53" s="199"/>
      <c r="J53" s="199" t="s">
        <v>228</v>
      </c>
      <c r="K53" s="199"/>
      <c r="L53" s="332" t="s">
        <v>246</v>
      </c>
      <c r="M53" s="332"/>
    </row>
    <row r="54" spans="2:13" ht="19.8">
      <c r="B54" s="333" t="s">
        <v>238</v>
      </c>
      <c r="C54" s="333"/>
      <c r="D54" s="333"/>
      <c r="E54" s="333"/>
      <c r="F54" s="333"/>
      <c r="G54" s="333"/>
    </row>
    <row r="55" spans="2:13" ht="19.8">
      <c r="B55" s="331" t="s">
        <v>239</v>
      </c>
      <c r="C55" s="331"/>
      <c r="D55" s="331"/>
      <c r="E55" s="331"/>
      <c r="F55" s="331"/>
      <c r="G55" s="331"/>
    </row>
    <row r="56" spans="2:13" ht="19.8">
      <c r="B56" s="333" t="s">
        <v>243</v>
      </c>
      <c r="C56" s="333"/>
      <c r="D56" s="333"/>
      <c r="E56" s="333"/>
      <c r="F56" s="333"/>
      <c r="G56" s="333"/>
    </row>
    <row r="57" spans="2:13" ht="19.8">
      <c r="B57" s="333" t="s">
        <v>244</v>
      </c>
      <c r="C57" s="333"/>
      <c r="D57" s="333"/>
      <c r="E57" s="333"/>
      <c r="F57" s="333"/>
      <c r="G57" s="333"/>
    </row>
    <row r="58" spans="2:13" ht="16.8" thickBot="1"/>
    <row r="59" spans="2:13" ht="48.6" thickBot="1">
      <c r="B59" s="6" t="s">
        <v>8</v>
      </c>
      <c r="C59" s="6" t="s">
        <v>9</v>
      </c>
      <c r="D59" s="6" t="s">
        <v>64</v>
      </c>
      <c r="E59" s="6" t="s">
        <v>65</v>
      </c>
      <c r="F59" s="6" t="s">
        <v>66</v>
      </c>
      <c r="G59" s="5" t="s">
        <v>69</v>
      </c>
      <c r="H59" s="6" t="s">
        <v>67</v>
      </c>
      <c r="I59" s="6" t="s">
        <v>68</v>
      </c>
    </row>
    <row r="60" spans="2:13" ht="16.8" thickBot="1">
      <c r="B60" s="5">
        <v>2016</v>
      </c>
      <c r="C60" s="6" t="s">
        <v>230</v>
      </c>
      <c r="D60" s="5">
        <v>45</v>
      </c>
      <c r="E60" s="5">
        <v>32.5</v>
      </c>
      <c r="F60" s="5">
        <v>14.3</v>
      </c>
      <c r="G60" s="5">
        <v>292.5</v>
      </c>
      <c r="H60" s="5">
        <v>313.5</v>
      </c>
      <c r="I60" s="5" t="s">
        <v>240</v>
      </c>
    </row>
    <row r="61" spans="2:13" ht="16.8" thickBot="1">
      <c r="B61" s="5">
        <v>2015</v>
      </c>
      <c r="C61" s="6" t="s">
        <v>229</v>
      </c>
      <c r="D61" s="5">
        <v>48</v>
      </c>
      <c r="E61" s="12">
        <v>33.799999999999997</v>
      </c>
      <c r="F61" s="5">
        <v>13.9</v>
      </c>
      <c r="G61" s="5">
        <v>200.4</v>
      </c>
      <c r="H61" s="5">
        <v>214.6</v>
      </c>
      <c r="I61" s="5">
        <v>29</v>
      </c>
    </row>
    <row r="62" spans="2:13" ht="16.8" thickBot="1">
      <c r="B62" s="5">
        <v>2009</v>
      </c>
      <c r="C62" s="6" t="s">
        <v>241</v>
      </c>
      <c r="D62" s="5">
        <v>40</v>
      </c>
      <c r="E62" s="5">
        <v>29.3</v>
      </c>
      <c r="F62" s="5">
        <v>14.9</v>
      </c>
      <c r="G62" s="12">
        <v>526</v>
      </c>
      <c r="H62" s="5">
        <v>699</v>
      </c>
      <c r="I62" s="5">
        <v>195</v>
      </c>
    </row>
    <row r="63" spans="2:13" ht="16.8" thickBot="1">
      <c r="B63" s="5">
        <v>2008</v>
      </c>
      <c r="C63" s="6" t="s">
        <v>176</v>
      </c>
      <c r="D63" s="5">
        <v>43</v>
      </c>
      <c r="E63" s="5">
        <v>29</v>
      </c>
      <c r="F63" s="5">
        <v>14</v>
      </c>
      <c r="G63" s="5">
        <v>216.7</v>
      </c>
      <c r="H63" s="5">
        <v>225.2</v>
      </c>
      <c r="I63" s="5">
        <v>13</v>
      </c>
    </row>
    <row r="64" spans="2:13" ht="16.8" thickBot="1">
      <c r="B64" s="5">
        <v>2005</v>
      </c>
      <c r="C64" s="6" t="s">
        <v>237</v>
      </c>
      <c r="D64" s="5">
        <v>53</v>
      </c>
      <c r="E64" s="5">
        <v>31.7</v>
      </c>
      <c r="F64" s="5">
        <v>14.3</v>
      </c>
      <c r="G64" s="5">
        <v>258.5</v>
      </c>
      <c r="H64" s="5">
        <v>270.5</v>
      </c>
      <c r="I64" s="5">
        <v>16</v>
      </c>
    </row>
    <row r="65" spans="2:9">
      <c r="B65" s="47"/>
      <c r="C65" s="48"/>
      <c r="D65" s="47"/>
      <c r="E65" s="47"/>
      <c r="F65" s="47"/>
      <c r="G65" s="47"/>
      <c r="H65" s="47"/>
      <c r="I65" s="47"/>
    </row>
    <row r="66" spans="2:9">
      <c r="B66" s="47"/>
      <c r="C66" s="48"/>
      <c r="D66" s="47"/>
      <c r="E66" s="47"/>
      <c r="F66" s="47"/>
      <c r="G66" s="47"/>
      <c r="H66" s="47"/>
      <c r="I66" s="47"/>
    </row>
    <row r="68" spans="2:9" ht="63" customHeight="1">
      <c r="B68" s="327" t="s">
        <v>245</v>
      </c>
      <c r="C68" s="327"/>
      <c r="D68" s="327"/>
      <c r="E68" s="327"/>
      <c r="F68" s="327"/>
      <c r="G68" s="327"/>
    </row>
  </sheetData>
  <mergeCells count="19">
    <mergeCell ref="L53:M53"/>
    <mergeCell ref="B57:G57"/>
    <mergeCell ref="B68:G68"/>
    <mergeCell ref="B54:G54"/>
    <mergeCell ref="B55:G55"/>
    <mergeCell ref="B56:G56"/>
    <mergeCell ref="B52:G52"/>
    <mergeCell ref="B2:C2"/>
    <mergeCell ref="B3:C3"/>
    <mergeCell ref="B4:C4"/>
    <mergeCell ref="B6:G6"/>
    <mergeCell ref="B7:G7"/>
    <mergeCell ref="B15:G15"/>
    <mergeCell ref="B16:G16"/>
    <mergeCell ref="B17:G17"/>
    <mergeCell ref="B49:G49"/>
    <mergeCell ref="B50:G50"/>
    <mergeCell ref="B51:G51"/>
    <mergeCell ref="B5:C5"/>
  </mergeCells>
  <phoneticPr fontId="1" type="noConversion"/>
  <pageMargins left="0.23622047244094488" right="0.23622047244094488" top="0.39370078740157483" bottom="0.39370078740157483" header="0.31496062992125984" footer="0.31496062992125984"/>
  <pageSetup paperSize="9" scale="65" fitToHeight="0"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3"/>
  <sheetViews>
    <sheetView topLeftCell="A25" zoomScaleNormal="100" workbookViewId="0">
      <selection activeCell="N15" sqref="N15"/>
    </sheetView>
  </sheetViews>
  <sheetFormatPr defaultRowHeight="16.2"/>
  <cols>
    <col min="2" max="2" width="11" customWidth="1"/>
    <col min="3" max="3" width="14.77734375" customWidth="1"/>
    <col min="4" max="4" width="14.21875" customWidth="1"/>
    <col min="5" max="5" width="11.88671875" bestFit="1" customWidth="1"/>
    <col min="6" max="6" width="10.21875" customWidth="1"/>
    <col min="7" max="7" width="11.109375" customWidth="1"/>
    <col min="8" max="8" width="11" customWidth="1"/>
    <col min="9" max="9" width="12.109375" customWidth="1"/>
    <col min="10" max="10" width="9.88671875" customWidth="1"/>
    <col min="11" max="11" width="12.44140625" customWidth="1"/>
    <col min="12" max="12" width="13.77734375" customWidth="1"/>
    <col min="14" max="14" width="13.109375" customWidth="1"/>
  </cols>
  <sheetData>
    <row r="1" spans="1:9" ht="22.2">
      <c r="A1" s="217" t="s">
        <v>1017</v>
      </c>
    </row>
    <row r="2" spans="1:9" ht="19.8">
      <c r="B2" s="328" t="s">
        <v>278</v>
      </c>
      <c r="C2" s="328"/>
      <c r="D2" s="29">
        <v>15</v>
      </c>
      <c r="E2" s="28" t="s">
        <v>70</v>
      </c>
      <c r="F2" s="29">
        <v>400.5</v>
      </c>
      <c r="G2" s="30" t="s">
        <v>71</v>
      </c>
      <c r="H2" s="31" t="s">
        <v>1284</v>
      </c>
      <c r="I2" s="32"/>
    </row>
    <row r="3" spans="1:9" ht="22.2">
      <c r="A3" s="1"/>
      <c r="B3" s="328" t="s">
        <v>72</v>
      </c>
      <c r="C3" s="328"/>
      <c r="D3" s="33" t="s">
        <v>73</v>
      </c>
      <c r="E3" s="33" t="s">
        <v>74</v>
      </c>
      <c r="F3" s="33" t="s">
        <v>75</v>
      </c>
      <c r="G3" s="30"/>
      <c r="H3" s="31"/>
      <c r="I3" s="32"/>
    </row>
    <row r="4" spans="1:9" ht="22.2">
      <c r="A4" s="1"/>
      <c r="B4" s="328" t="s">
        <v>77</v>
      </c>
      <c r="C4" s="328"/>
      <c r="D4" s="33" t="s">
        <v>78</v>
      </c>
      <c r="E4" s="28" t="s">
        <v>85</v>
      </c>
      <c r="F4" s="33" t="s">
        <v>86</v>
      </c>
      <c r="G4" s="33"/>
      <c r="H4" s="31"/>
      <c r="I4" s="32"/>
    </row>
    <row r="5" spans="1:9" ht="22.2">
      <c r="A5" s="54"/>
      <c r="B5" s="328" t="s">
        <v>261</v>
      </c>
      <c r="C5" s="328"/>
      <c r="D5" s="29">
        <v>2</v>
      </c>
      <c r="E5" s="28" t="s">
        <v>263</v>
      </c>
      <c r="F5" s="33"/>
      <c r="G5" s="33"/>
      <c r="H5" s="31"/>
      <c r="I5" s="32"/>
    </row>
    <row r="6" spans="1:9" ht="61.5" customHeight="1">
      <c r="B6" s="329" t="s">
        <v>1</v>
      </c>
      <c r="C6" s="329"/>
      <c r="D6" s="329"/>
      <c r="E6" s="329"/>
      <c r="F6" s="329"/>
      <c r="G6" s="329"/>
    </row>
    <row r="7" spans="1:9" ht="60" customHeight="1" thickBot="1">
      <c r="B7" s="330" t="s">
        <v>7</v>
      </c>
      <c r="C7" s="330"/>
      <c r="D7" s="330"/>
      <c r="E7" s="330"/>
      <c r="F7" s="330"/>
      <c r="G7" s="330"/>
    </row>
    <row r="8" spans="1:9" ht="40.200000000000003" thickBot="1">
      <c r="B8" s="3" t="s">
        <v>2</v>
      </c>
      <c r="C8" s="3" t="s">
        <v>3</v>
      </c>
      <c r="D8" s="3" t="s">
        <v>4</v>
      </c>
      <c r="E8" s="3" t="s">
        <v>5</v>
      </c>
      <c r="F8" s="3" t="s">
        <v>6</v>
      </c>
    </row>
    <row r="9" spans="1:9" ht="18.600000000000001" thickBot="1">
      <c r="B9" s="4">
        <v>2</v>
      </c>
      <c r="C9" s="4">
        <v>30</v>
      </c>
      <c r="D9" s="4">
        <v>17</v>
      </c>
      <c r="E9" s="4">
        <v>8</v>
      </c>
      <c r="F9" s="4">
        <v>5</v>
      </c>
    </row>
    <row r="10" spans="1:9" ht="18.600000000000001" thickBot="1">
      <c r="B10" s="4">
        <v>3</v>
      </c>
      <c r="C10" s="4">
        <v>29</v>
      </c>
      <c r="D10" s="4">
        <v>11</v>
      </c>
      <c r="E10" s="4">
        <v>13</v>
      </c>
      <c r="F10" s="4">
        <v>5</v>
      </c>
    </row>
    <row r="11" spans="1:9" ht="18.600000000000001" thickBot="1">
      <c r="B11" s="4">
        <v>6</v>
      </c>
      <c r="C11" s="4">
        <v>29</v>
      </c>
      <c r="D11" s="4">
        <v>6</v>
      </c>
      <c r="E11" s="4">
        <v>18</v>
      </c>
      <c r="F11" s="4">
        <v>5</v>
      </c>
    </row>
    <row r="12" spans="1:9" ht="18.600000000000001" thickBot="1">
      <c r="B12" s="4">
        <v>1</v>
      </c>
      <c r="C12" s="4">
        <v>22</v>
      </c>
      <c r="D12" s="4">
        <v>6</v>
      </c>
      <c r="E12" s="4">
        <v>13</v>
      </c>
      <c r="F12" s="4">
        <v>3</v>
      </c>
    </row>
    <row r="13" spans="1:9" ht="18.600000000000001" thickBot="1">
      <c r="B13" s="4">
        <v>4</v>
      </c>
      <c r="C13" s="4">
        <v>17</v>
      </c>
      <c r="D13" s="4">
        <v>7</v>
      </c>
      <c r="E13" s="4">
        <v>5</v>
      </c>
      <c r="F13" s="4">
        <v>6</v>
      </c>
    </row>
    <row r="14" spans="1:9" ht="18.600000000000001" thickBot="1">
      <c r="B14" s="4">
        <v>8</v>
      </c>
      <c r="C14" s="4">
        <v>5</v>
      </c>
      <c r="D14" s="4">
        <v>0</v>
      </c>
      <c r="E14" s="4">
        <v>1</v>
      </c>
      <c r="F14" s="4">
        <v>4</v>
      </c>
    </row>
    <row r="15" spans="1:9" ht="61.5" customHeight="1">
      <c r="B15" s="330" t="s">
        <v>262</v>
      </c>
      <c r="C15" s="330"/>
      <c r="D15" s="330"/>
      <c r="E15" s="330"/>
      <c r="F15" s="330"/>
      <c r="G15" s="330"/>
    </row>
    <row r="16" spans="1:9" ht="61.5" customHeight="1">
      <c r="B16" s="331" t="s">
        <v>55</v>
      </c>
      <c r="C16" s="331"/>
      <c r="D16" s="331"/>
      <c r="E16" s="331"/>
      <c r="F16" s="331"/>
      <c r="G16" s="331"/>
    </row>
    <row r="17" spans="2:9" ht="19.8">
      <c r="B17" s="330" t="s">
        <v>49</v>
      </c>
      <c r="C17" s="330"/>
      <c r="D17" s="330"/>
      <c r="E17" s="330"/>
      <c r="F17" s="330"/>
      <c r="G17" s="330"/>
    </row>
    <row r="18" spans="2:9" ht="32.4">
      <c r="B18" s="8" t="s">
        <v>8</v>
      </c>
      <c r="C18" s="8" t="s">
        <v>47</v>
      </c>
      <c r="D18" s="8" t="s">
        <v>48</v>
      </c>
      <c r="E18" s="8" t="s">
        <v>10</v>
      </c>
      <c r="F18" s="9" t="s">
        <v>50</v>
      </c>
      <c r="G18" s="9" t="s">
        <v>51</v>
      </c>
      <c r="H18" s="9" t="s">
        <v>52</v>
      </c>
      <c r="I18" s="9" t="s">
        <v>53</v>
      </c>
    </row>
    <row r="19" spans="2:9">
      <c r="B19" s="9">
        <v>2015</v>
      </c>
      <c r="C19" s="8" t="s">
        <v>11</v>
      </c>
      <c r="D19" s="9" t="s">
        <v>12</v>
      </c>
      <c r="E19" s="8" t="s">
        <v>4</v>
      </c>
      <c r="F19" s="7">
        <v>925</v>
      </c>
      <c r="G19" s="7">
        <v>51</v>
      </c>
      <c r="H19" s="7">
        <v>220</v>
      </c>
      <c r="I19" s="7">
        <v>80</v>
      </c>
    </row>
    <row r="20" spans="2:9">
      <c r="B20" s="10">
        <v>2013</v>
      </c>
      <c r="C20" s="11" t="s">
        <v>15</v>
      </c>
      <c r="D20" s="10" t="s">
        <v>16</v>
      </c>
      <c r="E20" s="11" t="s">
        <v>4</v>
      </c>
      <c r="F20" s="7">
        <v>925</v>
      </c>
      <c r="G20" s="7">
        <v>51</v>
      </c>
      <c r="H20" s="7">
        <v>280</v>
      </c>
      <c r="I20" s="7">
        <v>100</v>
      </c>
    </row>
    <row r="21" spans="2:9">
      <c r="B21" s="10">
        <v>2012</v>
      </c>
      <c r="C21" s="11" t="s">
        <v>19</v>
      </c>
      <c r="D21" s="10" t="s">
        <v>20</v>
      </c>
      <c r="E21" s="11" t="s">
        <v>5</v>
      </c>
      <c r="F21" s="7">
        <v>960</v>
      </c>
      <c r="G21" s="7">
        <v>38</v>
      </c>
      <c r="H21" s="7">
        <v>220</v>
      </c>
      <c r="I21" s="7">
        <v>80</v>
      </c>
    </row>
    <row r="22" spans="2:9">
      <c r="B22" s="10">
        <v>2008</v>
      </c>
      <c r="C22" s="11" t="s">
        <v>23</v>
      </c>
      <c r="D22" s="10" t="s">
        <v>24</v>
      </c>
      <c r="E22" s="11" t="s">
        <v>4</v>
      </c>
      <c r="F22" s="7">
        <v>925</v>
      </c>
      <c r="G22" s="7">
        <v>53</v>
      </c>
      <c r="H22" s="7">
        <v>280</v>
      </c>
      <c r="I22" s="7">
        <v>100</v>
      </c>
    </row>
    <row r="23" spans="2:9">
      <c r="B23" s="10">
        <v>2008</v>
      </c>
      <c r="C23" s="11" t="s">
        <v>27</v>
      </c>
      <c r="D23" s="10" t="s">
        <v>28</v>
      </c>
      <c r="E23" s="11" t="s">
        <v>4</v>
      </c>
      <c r="F23" s="7">
        <v>925</v>
      </c>
      <c r="G23" s="7">
        <v>51</v>
      </c>
      <c r="H23" s="7">
        <v>250</v>
      </c>
      <c r="I23" s="7">
        <v>100</v>
      </c>
    </row>
    <row r="24" spans="2:9">
      <c r="B24" s="10">
        <v>2008</v>
      </c>
      <c r="C24" s="11" t="s">
        <v>31</v>
      </c>
      <c r="D24" s="10" t="s">
        <v>32</v>
      </c>
      <c r="E24" s="11" t="s">
        <v>5</v>
      </c>
      <c r="F24" s="7">
        <v>970</v>
      </c>
      <c r="G24" s="7">
        <v>33</v>
      </c>
      <c r="H24" s="7">
        <v>120</v>
      </c>
      <c r="I24" s="7">
        <v>50</v>
      </c>
    </row>
    <row r="25" spans="2:9">
      <c r="B25" s="10">
        <v>2007</v>
      </c>
      <c r="C25" s="11" t="s">
        <v>35</v>
      </c>
      <c r="D25" s="10" t="s">
        <v>36</v>
      </c>
      <c r="E25" s="11" t="s">
        <v>4</v>
      </c>
      <c r="F25" s="7">
        <v>925</v>
      </c>
      <c r="G25" s="7">
        <v>51</v>
      </c>
      <c r="H25" s="7">
        <v>300</v>
      </c>
      <c r="I25" s="7">
        <v>120</v>
      </c>
    </row>
    <row r="26" spans="2:9">
      <c r="B26" s="10">
        <v>2006</v>
      </c>
      <c r="C26" s="11" t="s">
        <v>39</v>
      </c>
      <c r="D26" s="10" t="s">
        <v>40</v>
      </c>
      <c r="E26" s="11" t="s">
        <v>6</v>
      </c>
      <c r="F26" s="7">
        <v>978</v>
      </c>
      <c r="G26" s="7">
        <v>25</v>
      </c>
      <c r="H26" s="7">
        <v>300</v>
      </c>
      <c r="I26" s="7" t="s">
        <v>54</v>
      </c>
    </row>
    <row r="27" spans="2:9">
      <c r="B27" s="10">
        <v>1996</v>
      </c>
      <c r="C27" s="11" t="s">
        <v>43</v>
      </c>
      <c r="D27" s="10" t="s">
        <v>44</v>
      </c>
      <c r="E27" s="11" t="s">
        <v>4</v>
      </c>
      <c r="F27" s="7">
        <v>920</v>
      </c>
      <c r="G27" s="7">
        <v>53</v>
      </c>
      <c r="H27" s="7">
        <v>350</v>
      </c>
      <c r="I27" s="7">
        <v>150</v>
      </c>
    </row>
    <row r="28" spans="2:9">
      <c r="B28" s="10">
        <v>1994</v>
      </c>
      <c r="C28" s="11" t="s">
        <v>13</v>
      </c>
      <c r="D28" s="10" t="s">
        <v>14</v>
      </c>
      <c r="E28" s="11" t="s">
        <v>5</v>
      </c>
      <c r="F28" s="7">
        <v>970</v>
      </c>
      <c r="G28" s="7">
        <v>35</v>
      </c>
      <c r="H28" s="7">
        <v>200</v>
      </c>
      <c r="I28" s="7">
        <v>100</v>
      </c>
    </row>
    <row r="29" spans="2:9">
      <c r="B29" s="10">
        <v>1991</v>
      </c>
      <c r="C29" s="11" t="s">
        <v>17</v>
      </c>
      <c r="D29" s="10" t="s">
        <v>18</v>
      </c>
      <c r="E29" s="11" t="s">
        <v>5</v>
      </c>
      <c r="F29" s="7">
        <v>965</v>
      </c>
      <c r="G29" s="7">
        <v>33</v>
      </c>
      <c r="H29" s="7">
        <v>150</v>
      </c>
      <c r="I29" s="7">
        <v>50</v>
      </c>
    </row>
    <row r="30" spans="2:9">
      <c r="B30" s="10">
        <v>1990</v>
      </c>
      <c r="C30" s="11" t="s">
        <v>21</v>
      </c>
      <c r="D30" s="10" t="s">
        <v>22</v>
      </c>
      <c r="E30" s="11" t="s">
        <v>5</v>
      </c>
      <c r="F30" s="7">
        <v>960</v>
      </c>
      <c r="G30" s="7">
        <v>40</v>
      </c>
      <c r="H30" s="7">
        <v>200</v>
      </c>
      <c r="I30" s="7">
        <v>100</v>
      </c>
    </row>
    <row r="31" spans="2:9">
      <c r="B31" s="10">
        <v>1984</v>
      </c>
      <c r="C31" s="11" t="s">
        <v>25</v>
      </c>
      <c r="D31" s="10" t="s">
        <v>26</v>
      </c>
      <c r="E31" s="11" t="s">
        <v>6</v>
      </c>
      <c r="F31" s="7">
        <v>982</v>
      </c>
      <c r="G31" s="7">
        <v>25</v>
      </c>
      <c r="H31" s="7">
        <v>200</v>
      </c>
      <c r="I31" s="7" t="s">
        <v>54</v>
      </c>
    </row>
    <row r="32" spans="2:9">
      <c r="B32" s="10">
        <v>1980</v>
      </c>
      <c r="C32" s="11" t="s">
        <v>29</v>
      </c>
      <c r="D32" s="10" t="s">
        <v>30</v>
      </c>
      <c r="E32" s="11" t="s">
        <v>5</v>
      </c>
      <c r="F32" s="7">
        <v>950</v>
      </c>
      <c r="G32" s="7">
        <v>43</v>
      </c>
      <c r="H32" s="7">
        <v>250</v>
      </c>
      <c r="I32" s="7">
        <v>60</v>
      </c>
    </row>
    <row r="33" spans="2:13">
      <c r="B33" s="10">
        <v>1978</v>
      </c>
      <c r="C33" s="11" t="s">
        <v>33</v>
      </c>
      <c r="D33" s="10" t="s">
        <v>34</v>
      </c>
      <c r="E33" s="11" t="s">
        <v>6</v>
      </c>
      <c r="F33" s="7">
        <v>985</v>
      </c>
      <c r="G33" s="7">
        <v>20</v>
      </c>
      <c r="H33" s="7">
        <v>150</v>
      </c>
      <c r="I33" s="7" t="s">
        <v>54</v>
      </c>
    </row>
    <row r="34" spans="2:13">
      <c r="B34" s="10">
        <v>1977</v>
      </c>
      <c r="C34" s="11" t="s">
        <v>37</v>
      </c>
      <c r="D34" s="10" t="s">
        <v>38</v>
      </c>
      <c r="E34" s="11" t="s">
        <v>4</v>
      </c>
      <c r="F34" s="7">
        <v>930</v>
      </c>
      <c r="G34" s="7">
        <v>55</v>
      </c>
      <c r="H34" s="7">
        <v>200</v>
      </c>
      <c r="I34" s="7">
        <v>50</v>
      </c>
    </row>
    <row r="35" spans="2:13">
      <c r="B35" s="10">
        <v>1976</v>
      </c>
      <c r="C35" s="11" t="s">
        <v>41</v>
      </c>
      <c r="D35" s="10" t="s">
        <v>42</v>
      </c>
      <c r="E35" s="11" t="s">
        <v>4</v>
      </c>
      <c r="F35" s="7">
        <v>910</v>
      </c>
      <c r="G35" s="7">
        <v>55</v>
      </c>
      <c r="H35" s="7">
        <v>300</v>
      </c>
      <c r="I35" s="7">
        <v>150</v>
      </c>
    </row>
    <row r="36" spans="2:13">
      <c r="B36" s="10">
        <v>1975</v>
      </c>
      <c r="C36" s="11" t="s">
        <v>45</v>
      </c>
      <c r="D36" s="10" t="s">
        <v>46</v>
      </c>
      <c r="E36" s="11" t="s">
        <v>4</v>
      </c>
      <c r="F36" s="7">
        <v>900</v>
      </c>
      <c r="G36" s="7">
        <v>65</v>
      </c>
      <c r="H36" s="7">
        <v>250</v>
      </c>
      <c r="I36" s="7">
        <v>90</v>
      </c>
    </row>
    <row r="37" spans="2:13" ht="19.8">
      <c r="B37" s="327" t="s">
        <v>225</v>
      </c>
      <c r="C37" s="327"/>
      <c r="D37" s="327"/>
      <c r="E37" s="327"/>
      <c r="F37" s="327"/>
      <c r="G37" s="327"/>
    </row>
    <row r="38" spans="2:13" ht="68.25" customHeight="1">
      <c r="B38" s="327" t="s">
        <v>58</v>
      </c>
      <c r="C38" s="327"/>
      <c r="D38" s="327"/>
      <c r="E38" s="327"/>
      <c r="F38" s="327"/>
      <c r="G38" s="327"/>
    </row>
    <row r="39" spans="2:13" ht="68.25" customHeight="1">
      <c r="B39" s="327" t="s">
        <v>234</v>
      </c>
      <c r="C39" s="327"/>
      <c r="D39" s="327"/>
      <c r="E39" s="327"/>
      <c r="F39" s="327"/>
      <c r="G39" s="327"/>
    </row>
    <row r="40" spans="2:13" ht="47.25" customHeight="1">
      <c r="B40" s="327" t="s">
        <v>235</v>
      </c>
      <c r="C40" s="327"/>
      <c r="D40" s="327"/>
      <c r="E40" s="327"/>
      <c r="F40" s="327"/>
      <c r="G40" s="327"/>
    </row>
    <row r="41" spans="2:13">
      <c r="H41" s="199" t="s">
        <v>59</v>
      </c>
      <c r="I41" s="199"/>
      <c r="J41" s="199" t="s">
        <v>56</v>
      </c>
      <c r="K41" s="199"/>
      <c r="L41" s="332" t="s">
        <v>57</v>
      </c>
      <c r="M41" s="332"/>
    </row>
    <row r="42" spans="2:13" ht="19.8">
      <c r="B42" s="333" t="s">
        <v>60</v>
      </c>
      <c r="C42" s="333"/>
      <c r="D42" s="333"/>
      <c r="E42" s="333"/>
      <c r="F42" s="333"/>
      <c r="G42" s="333"/>
    </row>
    <row r="43" spans="2:13" ht="19.8">
      <c r="B43" s="331" t="s">
        <v>61</v>
      </c>
      <c r="C43" s="331"/>
      <c r="D43" s="331"/>
      <c r="E43" s="331"/>
      <c r="F43" s="331"/>
      <c r="G43" s="331"/>
    </row>
    <row r="44" spans="2:13" ht="19.8">
      <c r="B44" s="333" t="s">
        <v>62</v>
      </c>
      <c r="C44" s="333"/>
      <c r="D44" s="333"/>
      <c r="E44" s="333"/>
      <c r="F44" s="333"/>
      <c r="G44" s="333"/>
    </row>
    <row r="45" spans="2:13" ht="20.399999999999999" thickBot="1">
      <c r="B45" s="333" t="s">
        <v>63</v>
      </c>
      <c r="C45" s="333"/>
      <c r="D45" s="333"/>
      <c r="E45" s="333"/>
      <c r="F45" s="333"/>
      <c r="G45" s="333"/>
    </row>
    <row r="46" spans="2:13" ht="48.6" thickBot="1">
      <c r="B46" s="6" t="s">
        <v>8</v>
      </c>
      <c r="C46" s="6" t="s">
        <v>9</v>
      </c>
      <c r="D46" s="6" t="s">
        <v>64</v>
      </c>
      <c r="E46" s="6" t="s">
        <v>65</v>
      </c>
      <c r="F46" s="6" t="s">
        <v>66</v>
      </c>
      <c r="G46" s="5" t="s">
        <v>69</v>
      </c>
      <c r="H46" s="6" t="s">
        <v>67</v>
      </c>
      <c r="I46" s="6" t="s">
        <v>68</v>
      </c>
    </row>
    <row r="47" spans="2:13" ht="16.8" thickBot="1">
      <c r="B47" s="5">
        <v>2015</v>
      </c>
      <c r="C47" s="6" t="s">
        <v>11</v>
      </c>
      <c r="D47" s="5">
        <v>51</v>
      </c>
      <c r="E47" s="12">
        <v>50.6</v>
      </c>
      <c r="F47" s="5">
        <v>26.8</v>
      </c>
      <c r="G47" s="5">
        <v>208.3</v>
      </c>
      <c r="H47" s="5">
        <v>214.1</v>
      </c>
      <c r="I47" s="5">
        <v>8</v>
      </c>
    </row>
    <row r="48" spans="2:13" ht="16.8" thickBot="1">
      <c r="B48" s="5">
        <v>2013</v>
      </c>
      <c r="C48" s="6" t="s">
        <v>15</v>
      </c>
      <c r="D48" s="5">
        <v>51</v>
      </c>
      <c r="E48" s="5">
        <v>37</v>
      </c>
      <c r="F48" s="5">
        <v>20</v>
      </c>
      <c r="G48" s="5">
        <v>193.5</v>
      </c>
      <c r="H48" s="5">
        <v>193.5</v>
      </c>
      <c r="I48" s="5">
        <v>14.8</v>
      </c>
    </row>
    <row r="49" spans="2:9" ht="16.8" thickBot="1">
      <c r="B49" s="5">
        <v>2008</v>
      </c>
      <c r="C49" s="6" t="s">
        <v>23</v>
      </c>
      <c r="D49" s="5">
        <v>53</v>
      </c>
      <c r="E49" s="5">
        <v>48.5</v>
      </c>
      <c r="F49" s="5">
        <v>24.5</v>
      </c>
      <c r="G49" s="5">
        <v>200</v>
      </c>
      <c r="H49" s="5">
        <v>284.5</v>
      </c>
      <c r="I49" s="5">
        <v>25</v>
      </c>
    </row>
    <row r="50" spans="2:9" ht="16.8" thickBot="1">
      <c r="B50" s="5">
        <v>2008</v>
      </c>
      <c r="C50" s="6" t="s">
        <v>27</v>
      </c>
      <c r="D50" s="5">
        <v>51</v>
      </c>
      <c r="E50" s="5">
        <v>44.7</v>
      </c>
      <c r="F50" s="5">
        <v>25.2</v>
      </c>
      <c r="G50" s="12">
        <v>400.5</v>
      </c>
      <c r="H50" s="5">
        <v>552</v>
      </c>
      <c r="I50" s="5">
        <v>9</v>
      </c>
    </row>
    <row r="51" spans="2:9" ht="16.8" thickBot="1">
      <c r="B51" s="5">
        <v>2007</v>
      </c>
      <c r="C51" s="6" t="s">
        <v>35</v>
      </c>
      <c r="D51" s="5">
        <v>51</v>
      </c>
      <c r="E51" s="5">
        <v>47.1</v>
      </c>
      <c r="F51" s="5">
        <v>27</v>
      </c>
      <c r="G51" s="5">
        <v>203.5</v>
      </c>
      <c r="H51" s="5">
        <v>227</v>
      </c>
      <c r="I51" s="5">
        <v>42.7</v>
      </c>
    </row>
    <row r="53" spans="2:9" ht="63" customHeight="1">
      <c r="B53" s="327" t="s">
        <v>76</v>
      </c>
      <c r="C53" s="327"/>
      <c r="D53" s="327"/>
      <c r="E53" s="327"/>
      <c r="F53" s="327"/>
      <c r="G53" s="327"/>
    </row>
  </sheetData>
  <mergeCells count="19">
    <mergeCell ref="B45:G45"/>
    <mergeCell ref="B53:G53"/>
    <mergeCell ref="B40:G40"/>
    <mergeCell ref="B6:G6"/>
    <mergeCell ref="B7:G7"/>
    <mergeCell ref="B15:G15"/>
    <mergeCell ref="B17:G17"/>
    <mergeCell ref="B16:G16"/>
    <mergeCell ref="B37:G37"/>
    <mergeCell ref="B38:G38"/>
    <mergeCell ref="B39:G39"/>
    <mergeCell ref="B42:G42"/>
    <mergeCell ref="B43:G43"/>
    <mergeCell ref="B44:G44"/>
    <mergeCell ref="L41:M41"/>
    <mergeCell ref="B2:C2"/>
    <mergeCell ref="B3:C3"/>
    <mergeCell ref="B4:C4"/>
    <mergeCell ref="B5:C5"/>
  </mergeCells>
  <phoneticPr fontId="1" type="noConversion"/>
  <pageMargins left="0.23622047244094488" right="0.23622047244094488" top="0.39370078740157483" bottom="0.39370078740157483" header="0.31496062992125984" footer="0.31496062992125984"/>
  <pageSetup paperSize="9" scale="66" fitToHeight="0"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2"/>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64"/>
  <sheetViews>
    <sheetView topLeftCell="A76" zoomScaleNormal="100" workbookViewId="0">
      <selection activeCell="T16" sqref="T16"/>
    </sheetView>
  </sheetViews>
  <sheetFormatPr defaultRowHeight="16.2"/>
  <cols>
    <col min="1" max="1" width="6.21875" customWidth="1"/>
    <col min="2" max="2" width="10" bestFit="1" customWidth="1"/>
    <col min="3" max="4" width="11.88671875" bestFit="1" customWidth="1"/>
    <col min="5" max="5" width="10.21875" customWidth="1"/>
    <col min="6" max="6" width="11.109375" customWidth="1"/>
    <col min="7" max="7" width="11" customWidth="1"/>
    <col min="8" max="8" width="4.109375" customWidth="1"/>
    <col min="9" max="9" width="9.88671875" customWidth="1"/>
    <col min="11" max="11" width="20" bestFit="1" customWidth="1"/>
    <col min="12" max="12" width="11.21875" customWidth="1"/>
    <col min="13" max="13" width="13.109375" customWidth="1"/>
  </cols>
  <sheetData>
    <row r="1" spans="1:12" ht="22.2">
      <c r="A1" s="217" t="s">
        <v>1283</v>
      </c>
    </row>
    <row r="2" spans="1:12" ht="22.2">
      <c r="A2" s="196" t="s">
        <v>907</v>
      </c>
      <c r="I2" s="196" t="s">
        <v>906</v>
      </c>
    </row>
    <row r="3" spans="1:12" ht="37.799999999999997">
      <c r="A3" s="197" t="s">
        <v>89</v>
      </c>
      <c r="B3" s="197" t="s">
        <v>260</v>
      </c>
      <c r="C3" s="202" t="s">
        <v>266</v>
      </c>
      <c r="D3" s="202" t="s">
        <v>268</v>
      </c>
      <c r="I3" s="197" t="s">
        <v>89</v>
      </c>
      <c r="J3" s="197" t="s">
        <v>259</v>
      </c>
      <c r="K3" s="207" t="s">
        <v>908</v>
      </c>
      <c r="L3" s="202" t="s">
        <v>279</v>
      </c>
    </row>
    <row r="4" spans="1:12" ht="22.2">
      <c r="A4" s="51">
        <v>1</v>
      </c>
      <c r="B4" s="197" t="s">
        <v>153</v>
      </c>
      <c r="C4" s="197" t="s">
        <v>74</v>
      </c>
      <c r="D4" s="197" t="s">
        <v>86</v>
      </c>
      <c r="I4" s="51">
        <v>1</v>
      </c>
      <c r="J4" s="203" t="s">
        <v>153</v>
      </c>
      <c r="K4" s="51">
        <v>218.5</v>
      </c>
      <c r="L4" s="203" t="s">
        <v>769</v>
      </c>
    </row>
    <row r="5" spans="1:12" ht="22.2">
      <c r="A5" s="51">
        <v>2</v>
      </c>
      <c r="B5" s="197" t="s">
        <v>152</v>
      </c>
      <c r="C5" s="197" t="s">
        <v>74</v>
      </c>
      <c r="D5" s="197" t="s">
        <v>86</v>
      </c>
      <c r="I5" s="51">
        <v>2</v>
      </c>
      <c r="J5" s="203" t="s">
        <v>152</v>
      </c>
      <c r="K5" s="51">
        <v>603.5</v>
      </c>
      <c r="L5" s="203" t="s">
        <v>769</v>
      </c>
    </row>
    <row r="6" spans="1:12" ht="22.2">
      <c r="A6" s="51">
        <v>3</v>
      </c>
      <c r="B6" s="197" t="s">
        <v>154</v>
      </c>
      <c r="C6" s="197" t="s">
        <v>74</v>
      </c>
      <c r="D6" s="197" t="s">
        <v>86</v>
      </c>
      <c r="I6" s="51">
        <v>3</v>
      </c>
      <c r="J6" s="203" t="s">
        <v>154</v>
      </c>
      <c r="K6" s="51" t="s">
        <v>905</v>
      </c>
      <c r="L6" s="203" t="s">
        <v>770</v>
      </c>
    </row>
    <row r="7" spans="1:12" ht="22.2">
      <c r="A7" s="51">
        <v>4</v>
      </c>
      <c r="B7" s="197" t="s">
        <v>155</v>
      </c>
      <c r="C7" s="197" t="s">
        <v>74</v>
      </c>
      <c r="D7" s="197" t="s">
        <v>86</v>
      </c>
      <c r="I7" s="51">
        <v>4</v>
      </c>
      <c r="J7" s="203" t="s">
        <v>155</v>
      </c>
      <c r="K7" s="51">
        <v>602</v>
      </c>
      <c r="L7" s="203" t="s">
        <v>771</v>
      </c>
    </row>
    <row r="8" spans="1:12" ht="22.2">
      <c r="A8" s="51">
        <v>5</v>
      </c>
      <c r="B8" s="197" t="s">
        <v>156</v>
      </c>
      <c r="C8" s="197" t="s">
        <v>74</v>
      </c>
      <c r="D8" s="197" t="s">
        <v>86</v>
      </c>
      <c r="I8" s="51">
        <v>5</v>
      </c>
      <c r="J8" s="203" t="s">
        <v>156</v>
      </c>
      <c r="K8" s="51" t="s">
        <v>905</v>
      </c>
      <c r="L8" s="203" t="s">
        <v>772</v>
      </c>
    </row>
    <row r="9" spans="1:12" ht="22.2">
      <c r="A9" s="51">
        <v>6</v>
      </c>
      <c r="B9" s="197" t="s">
        <v>157</v>
      </c>
      <c r="C9" s="197" t="s">
        <v>74</v>
      </c>
      <c r="D9" s="197" t="s">
        <v>86</v>
      </c>
      <c r="I9" s="51">
        <v>6</v>
      </c>
      <c r="J9" s="203" t="s">
        <v>157</v>
      </c>
      <c r="K9" s="51">
        <v>478.9</v>
      </c>
      <c r="L9" s="203" t="s">
        <v>773</v>
      </c>
    </row>
    <row r="10" spans="1:12" ht="22.2">
      <c r="A10" s="51">
        <v>7</v>
      </c>
      <c r="B10" s="197" t="s">
        <v>158</v>
      </c>
      <c r="C10" s="197" t="s">
        <v>74</v>
      </c>
      <c r="D10" s="197" t="s">
        <v>86</v>
      </c>
      <c r="I10" s="51">
        <v>7</v>
      </c>
      <c r="J10" s="203" t="s">
        <v>158</v>
      </c>
      <c r="K10" s="51" t="s">
        <v>905</v>
      </c>
      <c r="L10" s="203" t="s">
        <v>774</v>
      </c>
    </row>
    <row r="11" spans="1:12" ht="22.2">
      <c r="A11" s="51">
        <v>8</v>
      </c>
      <c r="B11" s="197" t="s">
        <v>159</v>
      </c>
      <c r="C11" s="197" t="s">
        <v>74</v>
      </c>
      <c r="D11" s="197" t="s">
        <v>86</v>
      </c>
      <c r="I11" s="51">
        <v>8</v>
      </c>
      <c r="J11" s="203" t="s">
        <v>159</v>
      </c>
      <c r="K11" s="51" t="s">
        <v>905</v>
      </c>
      <c r="L11" s="203" t="s">
        <v>774</v>
      </c>
    </row>
    <row r="12" spans="1:12" ht="22.2">
      <c r="A12" s="51">
        <v>9</v>
      </c>
      <c r="B12" s="197" t="s">
        <v>160</v>
      </c>
      <c r="C12" s="197" t="s">
        <v>267</v>
      </c>
      <c r="D12" s="197" t="s">
        <v>256</v>
      </c>
      <c r="I12" s="51">
        <v>9</v>
      </c>
      <c r="J12" s="203" t="s">
        <v>160</v>
      </c>
      <c r="K12" s="51">
        <v>526</v>
      </c>
      <c r="L12" s="203" t="s">
        <v>752</v>
      </c>
    </row>
    <row r="13" spans="1:12" ht="22.2">
      <c r="A13" s="51">
        <v>10</v>
      </c>
      <c r="B13" s="197" t="s">
        <v>161</v>
      </c>
      <c r="C13" s="197" t="s">
        <v>74</v>
      </c>
      <c r="D13" s="197" t="s">
        <v>86</v>
      </c>
      <c r="I13" s="51">
        <v>10</v>
      </c>
      <c r="J13" s="203" t="s">
        <v>161</v>
      </c>
      <c r="K13" s="51">
        <v>535</v>
      </c>
      <c r="L13" s="203" t="s">
        <v>775</v>
      </c>
    </row>
    <row r="14" spans="1:12" ht="22.2">
      <c r="A14" s="51">
        <v>11</v>
      </c>
      <c r="B14" s="197" t="s">
        <v>162</v>
      </c>
      <c r="C14" s="197" t="s">
        <v>74</v>
      </c>
      <c r="D14" s="197" t="s">
        <v>86</v>
      </c>
      <c r="I14" s="51">
        <v>11</v>
      </c>
      <c r="J14" s="203" t="s">
        <v>162</v>
      </c>
      <c r="K14" s="51">
        <v>537.5</v>
      </c>
      <c r="L14" s="203" t="s">
        <v>777</v>
      </c>
    </row>
    <row r="15" spans="1:12" ht="22.2">
      <c r="A15" s="51">
        <v>12</v>
      </c>
      <c r="B15" s="197" t="s">
        <v>163</v>
      </c>
      <c r="C15" s="197" t="s">
        <v>74</v>
      </c>
      <c r="D15" s="197" t="s">
        <v>86</v>
      </c>
      <c r="I15" s="51">
        <v>12</v>
      </c>
      <c r="J15" s="203" t="s">
        <v>163</v>
      </c>
      <c r="K15" s="51">
        <v>618.5</v>
      </c>
      <c r="L15" s="203" t="s">
        <v>776</v>
      </c>
    </row>
    <row r="16" spans="1:12" ht="22.2">
      <c r="A16" s="51">
        <v>13</v>
      </c>
      <c r="B16" s="197" t="s">
        <v>725</v>
      </c>
      <c r="C16" s="197" t="s">
        <v>74</v>
      </c>
      <c r="D16" s="197" t="s">
        <v>86</v>
      </c>
      <c r="I16" s="51">
        <v>13</v>
      </c>
      <c r="J16" s="203" t="s">
        <v>725</v>
      </c>
      <c r="K16" s="51">
        <v>655</v>
      </c>
      <c r="L16" s="203" t="s">
        <v>778</v>
      </c>
    </row>
    <row r="17" spans="1:12" ht="22.2">
      <c r="A17" s="51">
        <v>14</v>
      </c>
      <c r="B17" s="197" t="s">
        <v>151</v>
      </c>
      <c r="C17" s="197" t="s">
        <v>765</v>
      </c>
      <c r="D17" s="197" t="s">
        <v>766</v>
      </c>
      <c r="I17" s="51">
        <v>14</v>
      </c>
      <c r="J17" s="203" t="s">
        <v>151</v>
      </c>
      <c r="K17" s="51">
        <v>490.3</v>
      </c>
      <c r="L17" s="203" t="s">
        <v>779</v>
      </c>
    </row>
    <row r="18" spans="1:12" ht="22.2">
      <c r="A18" s="51">
        <v>15</v>
      </c>
      <c r="B18" s="197" t="s">
        <v>0</v>
      </c>
      <c r="C18" s="197" t="s">
        <v>256</v>
      </c>
      <c r="D18" s="197" t="s">
        <v>255</v>
      </c>
      <c r="I18" s="51">
        <v>15</v>
      </c>
      <c r="J18" s="203" t="s">
        <v>0</v>
      </c>
      <c r="K18" s="51">
        <v>400</v>
      </c>
      <c r="L18" s="203" t="s">
        <v>280</v>
      </c>
    </row>
    <row r="19" spans="1:12" ht="22.2">
      <c r="A19" s="51">
        <v>16</v>
      </c>
      <c r="B19" s="197" t="s">
        <v>149</v>
      </c>
      <c r="C19" s="197" t="str">
        <f t="shared" ref="C19:D20" si="0">C18</f>
        <v>西</v>
      </c>
      <c r="D19" s="197" t="str">
        <f t="shared" si="0"/>
        <v>東</v>
      </c>
      <c r="I19" s="51">
        <v>16</v>
      </c>
      <c r="J19" s="203" t="s">
        <v>149</v>
      </c>
      <c r="K19" s="51">
        <v>443.5</v>
      </c>
      <c r="L19" s="203" t="s">
        <v>780</v>
      </c>
    </row>
    <row r="20" spans="1:12" ht="22.2">
      <c r="A20" s="51">
        <v>17</v>
      </c>
      <c r="B20" s="197" t="s">
        <v>150</v>
      </c>
      <c r="C20" s="197" t="str">
        <f t="shared" si="0"/>
        <v>西</v>
      </c>
      <c r="D20" s="197" t="str">
        <f t="shared" si="0"/>
        <v>東</v>
      </c>
      <c r="I20" s="51">
        <v>17</v>
      </c>
      <c r="J20" s="203" t="s">
        <v>150</v>
      </c>
      <c r="K20" s="51">
        <v>842</v>
      </c>
      <c r="L20" s="203" t="s">
        <v>781</v>
      </c>
    </row>
    <row r="21" spans="1:12" ht="22.2">
      <c r="A21" s="51">
        <v>18</v>
      </c>
      <c r="B21" s="197" t="s">
        <v>164</v>
      </c>
      <c r="C21" s="197" t="s">
        <v>768</v>
      </c>
      <c r="D21" s="197" t="s">
        <v>767</v>
      </c>
      <c r="I21" s="51">
        <v>18</v>
      </c>
      <c r="J21" s="203" t="s">
        <v>164</v>
      </c>
      <c r="K21" s="51">
        <v>430.5</v>
      </c>
      <c r="L21" s="203" t="s">
        <v>768</v>
      </c>
    </row>
    <row r="22" spans="1:12" ht="22.2">
      <c r="A22" s="51">
        <v>19</v>
      </c>
      <c r="B22" s="197" t="s">
        <v>165</v>
      </c>
      <c r="C22" s="197" t="s">
        <v>768</v>
      </c>
      <c r="D22" s="197" t="s">
        <v>767</v>
      </c>
      <c r="I22" s="51">
        <v>19</v>
      </c>
      <c r="J22" s="203" t="s">
        <v>165</v>
      </c>
      <c r="K22" s="51">
        <v>250</v>
      </c>
      <c r="L22" s="203" t="s">
        <v>768</v>
      </c>
    </row>
    <row r="23" spans="1:12" ht="22.2">
      <c r="A23" s="51">
        <v>20</v>
      </c>
      <c r="B23" s="197" t="s">
        <v>166</v>
      </c>
      <c r="C23" s="197" t="s">
        <v>768</v>
      </c>
      <c r="D23" s="197" t="s">
        <v>767</v>
      </c>
      <c r="I23" s="51">
        <v>20</v>
      </c>
      <c r="J23" s="203" t="s">
        <v>166</v>
      </c>
      <c r="K23" s="51">
        <v>120.5</v>
      </c>
      <c r="L23" s="203" t="s">
        <v>768</v>
      </c>
    </row>
    <row r="24" spans="1:12" ht="19.8">
      <c r="A24" s="205" t="s">
        <v>901</v>
      </c>
    </row>
    <row r="36" spans="1:1" ht="19.8">
      <c r="A36" s="205" t="s">
        <v>902</v>
      </c>
    </row>
    <row r="50" spans="1:1" ht="19.8">
      <c r="A50" s="206" t="s">
        <v>903</v>
      </c>
    </row>
    <row r="64" spans="1:1" ht="19.8">
      <c r="A64" s="206" t="s">
        <v>904</v>
      </c>
    </row>
  </sheetData>
  <phoneticPr fontId="1" type="noConversion"/>
  <pageMargins left="0.23622047244094488" right="0.23622047244094488" top="0.39370078740157483" bottom="0.39370078740157483" header="0.31496062992125984" footer="0.31496062992125984"/>
  <pageSetup paperSize="9" scale="60" fitToHeight="0"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zoomScaleNormal="100" workbookViewId="0">
      <selection sqref="A1:B1"/>
    </sheetView>
  </sheetViews>
  <sheetFormatPr defaultRowHeight="16.2"/>
  <cols>
    <col min="1" max="1" width="10.33203125" customWidth="1"/>
    <col min="2" max="2" width="23" bestFit="1" customWidth="1"/>
    <col min="3" max="3" width="16" customWidth="1"/>
    <col min="4" max="4" width="20.21875" bestFit="1" customWidth="1"/>
    <col min="5" max="5" width="22.88671875" customWidth="1"/>
  </cols>
  <sheetData>
    <row r="1" spans="1:5" ht="22.2">
      <c r="A1" s="334" t="s">
        <v>1016</v>
      </c>
      <c r="B1" s="334"/>
      <c r="C1" s="166"/>
      <c r="D1" s="166"/>
    </row>
    <row r="2" spans="1:5" ht="22.2">
      <c r="A2" s="166"/>
      <c r="B2" s="166"/>
      <c r="C2" s="166"/>
      <c r="D2" s="166"/>
    </row>
    <row r="3" spans="1:5" ht="19.8">
      <c r="A3" s="50" t="s">
        <v>89</v>
      </c>
      <c r="B3" s="50" t="s">
        <v>247</v>
      </c>
      <c r="C3" s="51">
        <v>1</v>
      </c>
      <c r="D3" s="51">
        <v>2</v>
      </c>
      <c r="E3" s="51">
        <v>3</v>
      </c>
    </row>
    <row r="4" spans="1:5" ht="19.8">
      <c r="A4" s="51" t="s">
        <v>782</v>
      </c>
      <c r="B4" s="165" t="s">
        <v>784</v>
      </c>
      <c r="C4" s="40" t="s">
        <v>786</v>
      </c>
      <c r="D4" s="40" t="s">
        <v>788</v>
      </c>
      <c r="E4" s="244" t="s">
        <v>1071</v>
      </c>
    </row>
    <row r="5" spans="1:5" ht="19.8">
      <c r="A5" s="51" t="s">
        <v>783</v>
      </c>
      <c r="B5" s="165" t="s">
        <v>785</v>
      </c>
      <c r="C5" s="40" t="s">
        <v>1077</v>
      </c>
      <c r="D5" s="165" t="s">
        <v>789</v>
      </c>
      <c r="E5" s="50" t="s">
        <v>787</v>
      </c>
    </row>
  </sheetData>
  <mergeCells count="1">
    <mergeCell ref="A1:B1"/>
  </mergeCells>
  <phoneticPr fontId="1" type="noConversion"/>
  <hyperlinks>
    <hyperlink ref="D4" location="'B2412'!A1" display="圓頂力霸型規範"/>
    <hyperlink ref="C4" location="'B2411'!A1" display="簡易型規範"/>
    <hyperlink ref="E4" location="'B2413'!A1" display="Venlo力霸型規範"/>
    <hyperlink ref="C5" location="'B2421'!A1" display="簡易型溫室"/>
  </hyperlinks>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
  <sheetViews>
    <sheetView workbookViewId="0">
      <selection sqref="A1:B1"/>
    </sheetView>
  </sheetViews>
  <sheetFormatPr defaultRowHeight="16.2"/>
  <cols>
    <col min="1" max="1" width="11.88671875" bestFit="1" customWidth="1"/>
    <col min="2" max="2" width="20.88671875" customWidth="1"/>
    <col min="3" max="3" width="14.6640625" bestFit="1" customWidth="1"/>
    <col min="4" max="4" width="17.33203125" bestFit="1" customWidth="1"/>
    <col min="5" max="5" width="9.44140625" customWidth="1"/>
    <col min="6" max="7" width="11.88671875" bestFit="1" customWidth="1"/>
    <col min="8" max="8" width="14.33203125" bestFit="1" customWidth="1"/>
    <col min="15" max="15" width="17.44140625" customWidth="1"/>
  </cols>
  <sheetData>
    <row r="1" spans="1:9" ht="22.2">
      <c r="A1" s="310" t="s">
        <v>1015</v>
      </c>
      <c r="B1" s="310"/>
      <c r="C1" s="60"/>
      <c r="D1" s="60"/>
      <c r="E1" s="60"/>
      <c r="F1" s="60"/>
      <c r="G1" s="60"/>
    </row>
    <row r="2" spans="1:9" ht="22.2">
      <c r="A2" s="60"/>
      <c r="B2" s="60"/>
      <c r="C2" s="60"/>
      <c r="D2" s="60"/>
      <c r="E2" s="60"/>
      <c r="F2" s="60"/>
      <c r="G2" s="60"/>
    </row>
    <row r="3" spans="1:9" ht="22.2">
      <c r="A3" s="202" t="s">
        <v>912</v>
      </c>
      <c r="B3" s="58" t="s">
        <v>396</v>
      </c>
      <c r="C3" s="60"/>
      <c r="D3" s="60"/>
      <c r="E3" s="60"/>
      <c r="F3" s="60"/>
      <c r="G3" s="60"/>
      <c r="I3" s="72" t="s">
        <v>322</v>
      </c>
    </row>
    <row r="4" spans="1:9" ht="19.8">
      <c r="A4" s="50" t="s">
        <v>89</v>
      </c>
      <c r="B4" s="50" t="s">
        <v>325</v>
      </c>
      <c r="C4" s="50" t="s">
        <v>320</v>
      </c>
      <c r="D4" s="50" t="s">
        <v>321</v>
      </c>
      <c r="E4" s="65"/>
      <c r="F4" s="65"/>
      <c r="G4" s="65"/>
    </row>
    <row r="5" spans="1:9" ht="19.8">
      <c r="A5" s="51">
        <v>1</v>
      </c>
      <c r="B5" s="45" t="s">
        <v>397</v>
      </c>
      <c r="C5" s="45">
        <v>10</v>
      </c>
      <c r="D5" s="45">
        <v>30</v>
      </c>
      <c r="E5" s="71"/>
      <c r="F5" s="71"/>
      <c r="G5" s="71"/>
      <c r="I5" s="72"/>
    </row>
    <row r="6" spans="1:9" ht="18">
      <c r="A6" s="51"/>
      <c r="B6" s="45"/>
      <c r="C6" s="71"/>
      <c r="D6" s="71"/>
      <c r="E6" s="71"/>
      <c r="F6" s="71"/>
      <c r="G6" s="71"/>
    </row>
    <row r="7" spans="1:9" ht="19.8">
      <c r="A7" s="50" t="s">
        <v>89</v>
      </c>
      <c r="B7" s="50" t="s">
        <v>302</v>
      </c>
      <c r="C7" s="336" t="s">
        <v>392</v>
      </c>
      <c r="D7" s="337"/>
      <c r="E7" s="338"/>
      <c r="F7" s="71"/>
      <c r="G7" s="71"/>
    </row>
    <row r="8" spans="1:9" ht="19.8">
      <c r="A8" s="51">
        <v>2</v>
      </c>
      <c r="B8" s="50" t="s">
        <v>393</v>
      </c>
      <c r="C8" s="45">
        <v>540</v>
      </c>
      <c r="D8" s="45">
        <v>600</v>
      </c>
      <c r="E8" s="45">
        <v>720</v>
      </c>
      <c r="F8" s="71"/>
      <c r="G8" s="71"/>
    </row>
    <row r="9" spans="1:9" ht="19.5" customHeight="1">
      <c r="A9" s="60"/>
      <c r="B9" s="60"/>
      <c r="C9" s="60"/>
      <c r="D9" s="60"/>
      <c r="E9" s="60"/>
      <c r="F9" s="60"/>
      <c r="G9" s="60"/>
    </row>
    <row r="10" spans="1:9" ht="19.5" customHeight="1">
      <c r="A10" s="314" t="s">
        <v>426</v>
      </c>
      <c r="B10" s="314"/>
      <c r="C10" s="60"/>
      <c r="D10" s="60"/>
      <c r="E10" s="60"/>
      <c r="F10" s="60"/>
      <c r="G10" s="60"/>
    </row>
    <row r="11" spans="1:9" ht="19.8">
      <c r="A11" s="74" t="s">
        <v>414</v>
      </c>
      <c r="B11" s="74" t="s">
        <v>424</v>
      </c>
      <c r="C11" s="74" t="s">
        <v>415</v>
      </c>
      <c r="D11" s="74" t="s">
        <v>416</v>
      </c>
      <c r="E11" s="74" t="s">
        <v>417</v>
      </c>
      <c r="F11" s="74" t="s">
        <v>418</v>
      </c>
      <c r="G11" s="74" t="s">
        <v>419</v>
      </c>
      <c r="H11" s="74" t="s">
        <v>420</v>
      </c>
    </row>
    <row r="12" spans="1:9" ht="36">
      <c r="A12" s="74" t="s">
        <v>398</v>
      </c>
      <c r="B12" s="74" t="s">
        <v>421</v>
      </c>
      <c r="C12" s="74" t="s">
        <v>399</v>
      </c>
      <c r="D12" s="74" t="s">
        <v>400</v>
      </c>
      <c r="E12" s="74" t="s">
        <v>401</v>
      </c>
      <c r="F12" s="74" t="s">
        <v>402</v>
      </c>
      <c r="G12" s="74" t="s">
        <v>403</v>
      </c>
      <c r="H12" s="74" t="s">
        <v>404</v>
      </c>
    </row>
    <row r="13" spans="1:9" ht="36">
      <c r="A13" s="74" t="s">
        <v>405</v>
      </c>
      <c r="B13" s="74" t="s">
        <v>422</v>
      </c>
      <c r="C13" s="74" t="s">
        <v>406</v>
      </c>
      <c r="D13" s="74" t="s">
        <v>407</v>
      </c>
      <c r="E13" s="74" t="s">
        <v>408</v>
      </c>
      <c r="F13" s="74" t="s">
        <v>402</v>
      </c>
      <c r="G13" s="74" t="s">
        <v>403</v>
      </c>
      <c r="H13" s="74" t="s">
        <v>404</v>
      </c>
    </row>
    <row r="14" spans="1:9" ht="36">
      <c r="A14" s="74" t="s">
        <v>409</v>
      </c>
      <c r="B14" s="74" t="s">
        <v>423</v>
      </c>
      <c r="C14" s="74" t="s">
        <v>410</v>
      </c>
      <c r="D14" s="74" t="s">
        <v>411</v>
      </c>
      <c r="E14" s="74" t="s">
        <v>412</v>
      </c>
      <c r="F14" s="74" t="s">
        <v>402</v>
      </c>
      <c r="G14" s="74" t="s">
        <v>403</v>
      </c>
      <c r="H14" s="74" t="s">
        <v>413</v>
      </c>
    </row>
    <row r="15" spans="1:9" ht="19.8">
      <c r="E15" s="72"/>
    </row>
    <row r="16" spans="1:9" ht="19.5" customHeight="1">
      <c r="A16" s="335" t="s">
        <v>449</v>
      </c>
      <c r="B16" s="335"/>
      <c r="I16" s="72"/>
    </row>
    <row r="17" spans="1:15" ht="19.8">
      <c r="A17" s="74" t="s">
        <v>414</v>
      </c>
      <c r="B17" s="74" t="s">
        <v>448</v>
      </c>
      <c r="C17" s="74" t="s">
        <v>427</v>
      </c>
      <c r="D17" s="74" t="s">
        <v>428</v>
      </c>
      <c r="E17" s="74" t="s">
        <v>429</v>
      </c>
      <c r="F17" s="74" t="s">
        <v>430</v>
      </c>
      <c r="G17" s="74" t="s">
        <v>431</v>
      </c>
      <c r="H17" s="74" t="s">
        <v>432</v>
      </c>
      <c r="I17" s="74" t="s">
        <v>433</v>
      </c>
      <c r="J17" s="74" t="s">
        <v>434</v>
      </c>
    </row>
    <row r="18" spans="1:15" ht="18">
      <c r="A18" s="74" t="s">
        <v>398</v>
      </c>
      <c r="B18" s="74" t="s">
        <v>413</v>
      </c>
      <c r="C18" s="74" t="s">
        <v>435</v>
      </c>
      <c r="D18" s="74" t="s">
        <v>436</v>
      </c>
      <c r="E18" s="74" t="s">
        <v>437</v>
      </c>
      <c r="F18" s="74" t="s">
        <v>438</v>
      </c>
      <c r="G18" s="74" t="s">
        <v>439</v>
      </c>
      <c r="H18" s="79" t="s">
        <v>440</v>
      </c>
      <c r="I18" s="74" t="s">
        <v>440</v>
      </c>
      <c r="J18" s="74" t="s">
        <v>439</v>
      </c>
    </row>
    <row r="19" spans="1:15" ht="18">
      <c r="A19" s="74" t="s">
        <v>405</v>
      </c>
      <c r="B19" s="74" t="s">
        <v>413</v>
      </c>
      <c r="C19" s="74" t="s">
        <v>441</v>
      </c>
      <c r="D19" s="74" t="s">
        <v>436</v>
      </c>
      <c r="E19" s="74" t="s">
        <v>437</v>
      </c>
      <c r="F19" s="74" t="s">
        <v>442</v>
      </c>
      <c r="G19" s="74" t="s">
        <v>439</v>
      </c>
      <c r="H19" s="79" t="s">
        <v>443</v>
      </c>
      <c r="I19" s="74" t="s">
        <v>443</v>
      </c>
      <c r="J19" s="74" t="s">
        <v>439</v>
      </c>
    </row>
    <row r="20" spans="1:15" ht="18">
      <c r="A20" s="74" t="s">
        <v>409</v>
      </c>
      <c r="B20" s="74" t="s">
        <v>444</v>
      </c>
      <c r="C20" s="74" t="s">
        <v>445</v>
      </c>
      <c r="D20" s="74" t="s">
        <v>436</v>
      </c>
      <c r="E20" s="74" t="s">
        <v>437</v>
      </c>
      <c r="F20" s="74" t="s">
        <v>446</v>
      </c>
      <c r="G20" s="74" t="s">
        <v>447</v>
      </c>
      <c r="H20" s="79" t="s">
        <v>443</v>
      </c>
      <c r="I20" s="74" t="s">
        <v>443</v>
      </c>
      <c r="J20" s="79" t="s">
        <v>443</v>
      </c>
    </row>
    <row r="22" spans="1:15" ht="19.5" customHeight="1">
      <c r="A22" s="72" t="s">
        <v>450</v>
      </c>
    </row>
    <row r="23" spans="1:15" ht="19.8">
      <c r="N23" s="74" t="s">
        <v>454</v>
      </c>
      <c r="O23" s="73" t="s">
        <v>466</v>
      </c>
    </row>
    <row r="24" spans="1:15" ht="19.8">
      <c r="N24" s="74" t="s">
        <v>451</v>
      </c>
      <c r="O24" s="74" t="s">
        <v>455</v>
      </c>
    </row>
    <row r="25" spans="1:15" ht="19.8">
      <c r="N25" s="74" t="s">
        <v>452</v>
      </c>
      <c r="O25" s="74" t="s">
        <v>456</v>
      </c>
    </row>
    <row r="26" spans="1:15" ht="19.8">
      <c r="N26" s="74" t="s">
        <v>427</v>
      </c>
      <c r="O26" s="74" t="s">
        <v>457</v>
      </c>
    </row>
    <row r="27" spans="1:15" ht="19.8">
      <c r="N27" s="74" t="s">
        <v>453</v>
      </c>
      <c r="O27" s="74" t="s">
        <v>458</v>
      </c>
    </row>
    <row r="28" spans="1:15" ht="19.8">
      <c r="N28" s="74" t="s">
        <v>428</v>
      </c>
      <c r="O28" s="74" t="s">
        <v>459</v>
      </c>
    </row>
    <row r="29" spans="1:15" ht="19.8">
      <c r="I29" s="72"/>
      <c r="N29" s="74" t="s">
        <v>429</v>
      </c>
      <c r="O29" s="74" t="s">
        <v>460</v>
      </c>
    </row>
    <row r="30" spans="1:15" ht="19.8">
      <c r="N30" s="74" t="s">
        <v>430</v>
      </c>
      <c r="O30" s="74" t="s">
        <v>461</v>
      </c>
    </row>
    <row r="31" spans="1:15" ht="19.8">
      <c r="N31" s="74" t="s">
        <v>431</v>
      </c>
      <c r="O31" s="74" t="s">
        <v>462</v>
      </c>
    </row>
    <row r="32" spans="1:15" ht="19.8">
      <c r="I32" s="72"/>
      <c r="N32" s="74" t="s">
        <v>432</v>
      </c>
      <c r="O32" s="74" t="s">
        <v>463</v>
      </c>
    </row>
    <row r="33" spans="9:15" ht="19.8">
      <c r="N33" s="74" t="s">
        <v>433</v>
      </c>
      <c r="O33" s="74" t="s">
        <v>464</v>
      </c>
    </row>
    <row r="34" spans="9:15" ht="19.8">
      <c r="N34" s="74" t="s">
        <v>434</v>
      </c>
      <c r="O34" s="74" t="s">
        <v>465</v>
      </c>
    </row>
    <row r="35" spans="9:15" ht="19.5" customHeight="1"/>
    <row r="43" spans="9:15" ht="19.8">
      <c r="I43" s="72"/>
    </row>
  </sheetData>
  <mergeCells count="4">
    <mergeCell ref="A10:B10"/>
    <mergeCell ref="A16:B16"/>
    <mergeCell ref="A1:B1"/>
    <mergeCell ref="C7:E7"/>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workbookViewId="0">
      <selection sqref="A1:B1"/>
    </sheetView>
  </sheetViews>
  <sheetFormatPr defaultRowHeight="16.2"/>
  <cols>
    <col min="1" max="1" width="6.77734375" bestFit="1" customWidth="1"/>
    <col min="2" max="2" width="26.77734375" customWidth="1"/>
    <col min="3" max="3" width="23.77734375" customWidth="1"/>
    <col min="4" max="4" width="17.33203125" bestFit="1" customWidth="1"/>
    <col min="5" max="5" width="17.33203125" customWidth="1"/>
    <col min="6" max="6" width="14.6640625" bestFit="1" customWidth="1"/>
    <col min="7" max="7" width="24" customWidth="1"/>
    <col min="8" max="8" width="10" customWidth="1"/>
  </cols>
  <sheetData>
    <row r="1" spans="1:9" ht="22.2">
      <c r="A1" s="310" t="s">
        <v>1014</v>
      </c>
      <c r="B1" s="310"/>
      <c r="C1" s="60"/>
      <c r="D1" s="60"/>
      <c r="E1" s="60"/>
      <c r="F1" s="60"/>
      <c r="G1" s="60"/>
    </row>
    <row r="2" spans="1:9" ht="22.2">
      <c r="A2" s="60"/>
      <c r="B2" s="60"/>
      <c r="C2" s="60"/>
      <c r="D2" s="60"/>
      <c r="E2" s="60"/>
      <c r="F2" s="60"/>
      <c r="G2" s="60"/>
    </row>
    <row r="3" spans="1:9" ht="22.2">
      <c r="A3" s="202" t="s">
        <v>912</v>
      </c>
      <c r="B3" s="58" t="s">
        <v>292</v>
      </c>
      <c r="C3" s="60"/>
      <c r="D3" s="60"/>
      <c r="E3" s="60"/>
      <c r="F3" s="60"/>
      <c r="G3" s="60"/>
      <c r="I3" s="72" t="s">
        <v>322</v>
      </c>
    </row>
    <row r="4" spans="1:9" ht="19.8">
      <c r="A4" s="202" t="s">
        <v>89</v>
      </c>
      <c r="B4" s="50" t="s">
        <v>325</v>
      </c>
      <c r="C4" s="50" t="s">
        <v>320</v>
      </c>
      <c r="D4" s="50" t="s">
        <v>321</v>
      </c>
      <c r="E4" s="65"/>
      <c r="F4" s="65"/>
      <c r="G4" s="65"/>
    </row>
    <row r="5" spans="1:9" ht="18">
      <c r="A5" s="51">
        <v>1</v>
      </c>
      <c r="B5" s="45" t="s">
        <v>318</v>
      </c>
      <c r="C5" s="45">
        <v>9</v>
      </c>
      <c r="D5" s="45">
        <v>27.5</v>
      </c>
      <c r="E5" s="71"/>
      <c r="F5" s="71"/>
      <c r="G5" s="71"/>
    </row>
    <row r="6" spans="1:9" ht="18">
      <c r="A6" s="51">
        <v>2</v>
      </c>
      <c r="B6" s="45" t="s">
        <v>319</v>
      </c>
      <c r="C6" s="45">
        <v>11</v>
      </c>
      <c r="D6" s="45">
        <v>33</v>
      </c>
      <c r="E6" s="71"/>
      <c r="F6" s="71"/>
      <c r="G6" s="71"/>
    </row>
    <row r="7" spans="1:9" ht="18">
      <c r="A7" s="51"/>
      <c r="B7" s="45"/>
      <c r="C7" s="71"/>
      <c r="D7" s="71"/>
      <c r="E7" s="71"/>
      <c r="F7" s="71"/>
      <c r="G7" s="71"/>
    </row>
    <row r="8" spans="1:9" ht="19.8">
      <c r="A8" s="50" t="s">
        <v>89</v>
      </c>
      <c r="B8" s="50" t="s">
        <v>302</v>
      </c>
      <c r="C8" s="336" t="s">
        <v>392</v>
      </c>
      <c r="D8" s="337"/>
      <c r="E8" s="338"/>
      <c r="F8" s="71"/>
      <c r="G8" s="71"/>
    </row>
    <row r="9" spans="1:9" ht="19.8">
      <c r="A9" s="51">
        <v>3</v>
      </c>
      <c r="B9" s="50" t="s">
        <v>393</v>
      </c>
      <c r="C9" s="45">
        <v>960</v>
      </c>
      <c r="D9" s="45">
        <v>1040</v>
      </c>
      <c r="E9" s="45">
        <v>1140</v>
      </c>
      <c r="F9" s="71"/>
      <c r="G9" s="71"/>
    </row>
    <row r="10" spans="1:9" ht="19.5" customHeight="1">
      <c r="A10" s="60"/>
      <c r="B10" s="60"/>
      <c r="C10" s="60"/>
      <c r="D10" s="60"/>
      <c r="E10" s="60"/>
      <c r="F10" s="60"/>
      <c r="G10" s="60"/>
    </row>
    <row r="11" spans="1:9" ht="19.8">
      <c r="A11" s="314" t="s">
        <v>425</v>
      </c>
      <c r="B11" s="314"/>
      <c r="C11" s="314"/>
      <c r="E11" s="314" t="s">
        <v>383</v>
      </c>
      <c r="F11" s="314"/>
      <c r="G11" s="314"/>
    </row>
    <row r="12" spans="1:9" ht="19.8">
      <c r="A12" s="73" t="s">
        <v>301</v>
      </c>
      <c r="B12" s="74" t="s">
        <v>345</v>
      </c>
      <c r="C12" s="74" t="s">
        <v>340</v>
      </c>
      <c r="E12" s="73" t="s">
        <v>301</v>
      </c>
      <c r="F12" s="74" t="s">
        <v>345</v>
      </c>
      <c r="G12" s="74" t="s">
        <v>340</v>
      </c>
    </row>
    <row r="13" spans="1:9" ht="19.8">
      <c r="A13" s="340" t="s">
        <v>346</v>
      </c>
      <c r="B13" s="340"/>
      <c r="C13" s="340"/>
      <c r="E13" s="340" t="s">
        <v>346</v>
      </c>
      <c r="F13" s="340"/>
      <c r="G13" s="340"/>
    </row>
    <row r="14" spans="1:9" ht="19.8">
      <c r="A14" s="74" t="s">
        <v>326</v>
      </c>
      <c r="B14" s="75" t="s">
        <v>341</v>
      </c>
      <c r="C14" s="76" t="s">
        <v>351</v>
      </c>
      <c r="E14" s="74" t="s">
        <v>326</v>
      </c>
      <c r="F14" s="75" t="s">
        <v>341</v>
      </c>
      <c r="G14" s="76" t="s">
        <v>351</v>
      </c>
    </row>
    <row r="15" spans="1:9" ht="19.8">
      <c r="A15" s="74" t="s">
        <v>385</v>
      </c>
      <c r="B15" s="77" t="s">
        <v>384</v>
      </c>
      <c r="C15" s="76" t="s">
        <v>352</v>
      </c>
      <c r="E15" s="74" t="s">
        <v>385</v>
      </c>
      <c r="F15" s="77" t="s">
        <v>384</v>
      </c>
      <c r="G15" s="76" t="s">
        <v>352</v>
      </c>
    </row>
    <row r="16" spans="1:9" ht="19.5" customHeight="1">
      <c r="A16" s="74" t="s">
        <v>327</v>
      </c>
      <c r="B16" s="75" t="s">
        <v>342</v>
      </c>
      <c r="C16" s="76" t="s">
        <v>352</v>
      </c>
      <c r="E16" s="74" t="s">
        <v>327</v>
      </c>
      <c r="F16" s="75" t="s">
        <v>342</v>
      </c>
      <c r="G16" s="76" t="s">
        <v>352</v>
      </c>
    </row>
    <row r="17" spans="1:9" ht="19.8">
      <c r="A17" s="74" t="s">
        <v>328</v>
      </c>
      <c r="B17" s="77" t="s">
        <v>350</v>
      </c>
      <c r="C17" s="78" t="s">
        <v>353</v>
      </c>
      <c r="E17" s="74" t="s">
        <v>328</v>
      </c>
      <c r="F17" s="77" t="s">
        <v>837</v>
      </c>
      <c r="G17" s="78" t="s">
        <v>387</v>
      </c>
    </row>
    <row r="18" spans="1:9" ht="19.8">
      <c r="A18" s="74" t="s">
        <v>329</v>
      </c>
      <c r="B18" s="75" t="s">
        <v>343</v>
      </c>
      <c r="C18" s="76" t="s">
        <v>354</v>
      </c>
      <c r="E18" s="74" t="s">
        <v>329</v>
      </c>
      <c r="F18" s="75" t="s">
        <v>343</v>
      </c>
      <c r="G18" s="76" t="s">
        <v>354</v>
      </c>
    </row>
    <row r="19" spans="1:9" ht="19.5" customHeight="1">
      <c r="A19" s="339" t="s">
        <v>347</v>
      </c>
      <c r="B19" s="339"/>
      <c r="C19" s="339"/>
      <c r="E19" s="339" t="s">
        <v>347</v>
      </c>
      <c r="F19" s="339"/>
      <c r="G19" s="339"/>
      <c r="I19" s="72" t="s">
        <v>323</v>
      </c>
    </row>
    <row r="20" spans="1:9" ht="19.8">
      <c r="A20" s="74" t="s">
        <v>330</v>
      </c>
      <c r="B20" s="77" t="s">
        <v>356</v>
      </c>
      <c r="C20" s="76" t="s">
        <v>355</v>
      </c>
      <c r="E20" s="74" t="s">
        <v>330</v>
      </c>
      <c r="F20" s="77" t="s">
        <v>356</v>
      </c>
      <c r="G20" s="76" t="s">
        <v>388</v>
      </c>
    </row>
    <row r="21" spans="1:9" ht="19.8">
      <c r="A21" s="74" t="s">
        <v>331</v>
      </c>
      <c r="B21" s="77" t="s">
        <v>357</v>
      </c>
      <c r="C21" s="76" t="s">
        <v>355</v>
      </c>
      <c r="E21" s="74" t="s">
        <v>331</v>
      </c>
      <c r="F21" s="77" t="s">
        <v>357</v>
      </c>
      <c r="G21" s="76" t="s">
        <v>388</v>
      </c>
    </row>
    <row r="22" spans="1:9" ht="19.8">
      <c r="A22" s="74" t="s">
        <v>332</v>
      </c>
      <c r="B22" s="77" t="s">
        <v>358</v>
      </c>
      <c r="C22" s="76" t="s">
        <v>386</v>
      </c>
      <c r="E22" s="74" t="s">
        <v>332</v>
      </c>
      <c r="F22" s="77" t="s">
        <v>358</v>
      </c>
      <c r="G22" s="76" t="s">
        <v>389</v>
      </c>
    </row>
    <row r="23" spans="1:9" ht="19.8">
      <c r="A23" s="74" t="s">
        <v>333</v>
      </c>
      <c r="B23" s="77" t="s">
        <v>359</v>
      </c>
      <c r="C23" s="76" t="s">
        <v>363</v>
      </c>
      <c r="E23" s="74" t="s">
        <v>333</v>
      </c>
      <c r="F23" s="77" t="s">
        <v>359</v>
      </c>
      <c r="G23" s="76" t="s">
        <v>363</v>
      </c>
    </row>
    <row r="24" spans="1:9" ht="19.8">
      <c r="A24" s="74" t="s">
        <v>334</v>
      </c>
      <c r="B24" s="77" t="s">
        <v>360</v>
      </c>
      <c r="C24" s="76" t="s">
        <v>363</v>
      </c>
      <c r="E24" s="74" t="s">
        <v>334</v>
      </c>
      <c r="F24" s="77" t="s">
        <v>360</v>
      </c>
      <c r="G24" s="76" t="s">
        <v>363</v>
      </c>
    </row>
    <row r="25" spans="1:9" ht="19.5" customHeight="1">
      <c r="A25" s="74" t="s">
        <v>335</v>
      </c>
      <c r="B25" s="77" t="s">
        <v>361</v>
      </c>
      <c r="C25" s="76" t="s">
        <v>363</v>
      </c>
      <c r="E25" s="74" t="s">
        <v>335</v>
      </c>
      <c r="F25" s="77" t="s">
        <v>361</v>
      </c>
      <c r="G25" s="76" t="s">
        <v>363</v>
      </c>
    </row>
    <row r="26" spans="1:9" ht="19.8">
      <c r="A26" s="74" t="s">
        <v>336</v>
      </c>
      <c r="B26" s="77" t="s">
        <v>362</v>
      </c>
      <c r="C26" s="76" t="s">
        <v>363</v>
      </c>
      <c r="E26" s="74" t="s">
        <v>336</v>
      </c>
      <c r="F26" s="77" t="s">
        <v>838</v>
      </c>
      <c r="G26" s="76" t="s">
        <v>363</v>
      </c>
    </row>
    <row r="27" spans="1:9" ht="19.8">
      <c r="A27" s="74" t="s">
        <v>364</v>
      </c>
      <c r="B27" s="75" t="s">
        <v>344</v>
      </c>
      <c r="C27" s="76" t="s">
        <v>363</v>
      </c>
      <c r="E27" s="74" t="s">
        <v>364</v>
      </c>
      <c r="F27" s="181" t="s">
        <v>839</v>
      </c>
      <c r="G27" s="76" t="s">
        <v>363</v>
      </c>
    </row>
    <row r="28" spans="1:9" ht="19.8">
      <c r="A28" s="340" t="s">
        <v>348</v>
      </c>
      <c r="B28" s="340"/>
      <c r="C28" s="340"/>
      <c r="E28" s="340" t="s">
        <v>348</v>
      </c>
      <c r="F28" s="340"/>
      <c r="G28" s="340"/>
    </row>
    <row r="29" spans="1:9" ht="19.8">
      <c r="A29" s="74" t="s">
        <v>920</v>
      </c>
      <c r="B29" s="77" t="s">
        <v>365</v>
      </c>
      <c r="C29" s="76" t="s">
        <v>374</v>
      </c>
      <c r="E29" s="201" t="s">
        <v>920</v>
      </c>
      <c r="F29" s="77" t="s">
        <v>365</v>
      </c>
      <c r="G29" s="76" t="s">
        <v>390</v>
      </c>
    </row>
    <row r="30" spans="1:9" ht="19.8">
      <c r="A30" s="74" t="s">
        <v>921</v>
      </c>
      <c r="B30" s="77" t="s">
        <v>366</v>
      </c>
      <c r="C30" s="76" t="s">
        <v>375</v>
      </c>
      <c r="E30" s="201" t="s">
        <v>921</v>
      </c>
      <c r="F30" s="77" t="s">
        <v>366</v>
      </c>
      <c r="G30" s="80" t="s">
        <v>391</v>
      </c>
    </row>
    <row r="31" spans="1:9" ht="37.799999999999997">
      <c r="A31" s="201" t="s">
        <v>922</v>
      </c>
      <c r="B31" s="77" t="s">
        <v>367</v>
      </c>
      <c r="C31" s="77" t="s">
        <v>376</v>
      </c>
      <c r="E31" s="201" t="s">
        <v>922</v>
      </c>
      <c r="F31" s="77" t="s">
        <v>367</v>
      </c>
      <c r="G31" s="77" t="s">
        <v>376</v>
      </c>
    </row>
    <row r="32" spans="1:9" ht="19.8">
      <c r="A32" s="201" t="s">
        <v>923</v>
      </c>
      <c r="B32" s="77" t="s">
        <v>368</v>
      </c>
      <c r="C32" s="76" t="s">
        <v>377</v>
      </c>
      <c r="E32" s="201" t="s">
        <v>923</v>
      </c>
      <c r="F32" s="77" t="s">
        <v>368</v>
      </c>
      <c r="G32" s="76" t="s">
        <v>377</v>
      </c>
      <c r="I32" s="72" t="s">
        <v>324</v>
      </c>
    </row>
    <row r="33" spans="1:9" ht="19.8">
      <c r="A33" s="201" t="s">
        <v>924</v>
      </c>
      <c r="B33" s="77" t="s">
        <v>369</v>
      </c>
      <c r="C33" s="76" t="s">
        <v>337</v>
      </c>
      <c r="E33" s="201" t="s">
        <v>924</v>
      </c>
      <c r="F33" s="77" t="s">
        <v>369</v>
      </c>
      <c r="G33" s="76" t="s">
        <v>337</v>
      </c>
    </row>
    <row r="34" spans="1:9" ht="19.8">
      <c r="A34" s="201" t="s">
        <v>925</v>
      </c>
      <c r="B34" s="77" t="s">
        <v>370</v>
      </c>
      <c r="C34" s="76" t="s">
        <v>337</v>
      </c>
      <c r="E34" s="201" t="s">
        <v>925</v>
      </c>
      <c r="F34" s="77" t="s">
        <v>370</v>
      </c>
      <c r="G34" s="76" t="s">
        <v>337</v>
      </c>
    </row>
    <row r="35" spans="1:9" ht="19.8">
      <c r="A35" s="201" t="s">
        <v>926</v>
      </c>
      <c r="B35" s="77" t="s">
        <v>371</v>
      </c>
      <c r="C35" s="76" t="s">
        <v>337</v>
      </c>
      <c r="E35" s="201" t="s">
        <v>926</v>
      </c>
      <c r="F35" s="77" t="s">
        <v>371</v>
      </c>
      <c r="G35" s="76" t="s">
        <v>337</v>
      </c>
      <c r="I35" s="72"/>
    </row>
    <row r="36" spans="1:9" ht="19.8">
      <c r="A36" s="201" t="s">
        <v>927</v>
      </c>
      <c r="B36" s="77" t="s">
        <v>372</v>
      </c>
      <c r="C36" s="76" t="s">
        <v>378</v>
      </c>
      <c r="E36" s="201" t="s">
        <v>927</v>
      </c>
      <c r="F36" s="77" t="s">
        <v>372</v>
      </c>
      <c r="G36" s="76" t="s">
        <v>378</v>
      </c>
    </row>
    <row r="37" spans="1:9" ht="37.799999999999997">
      <c r="A37" s="201" t="s">
        <v>928</v>
      </c>
      <c r="B37" s="77" t="s">
        <v>373</v>
      </c>
      <c r="C37" s="77" t="s">
        <v>376</v>
      </c>
      <c r="E37" s="201" t="s">
        <v>928</v>
      </c>
      <c r="F37" s="77" t="s">
        <v>373</v>
      </c>
      <c r="G37" s="77" t="s">
        <v>376</v>
      </c>
    </row>
    <row r="38" spans="1:9" ht="19.5" customHeight="1">
      <c r="A38" s="339" t="s">
        <v>349</v>
      </c>
      <c r="B38" s="339"/>
      <c r="C38" s="339"/>
      <c r="E38" s="339" t="s">
        <v>349</v>
      </c>
      <c r="F38" s="339"/>
      <c r="G38" s="339"/>
    </row>
    <row r="39" spans="1:9" ht="19.8">
      <c r="A39" s="74" t="s">
        <v>338</v>
      </c>
      <c r="B39" s="77" t="s">
        <v>379</v>
      </c>
      <c r="C39" s="76" t="s">
        <v>381</v>
      </c>
      <c r="E39" s="74" t="s">
        <v>338</v>
      </c>
      <c r="F39" s="77" t="s">
        <v>379</v>
      </c>
      <c r="G39" s="76" t="s">
        <v>381</v>
      </c>
    </row>
    <row r="40" spans="1:9" ht="19.8">
      <c r="A40" s="74" t="s">
        <v>339</v>
      </c>
      <c r="B40" s="77" t="s">
        <v>380</v>
      </c>
      <c r="C40" s="75" t="s">
        <v>382</v>
      </c>
      <c r="E40" s="74" t="s">
        <v>339</v>
      </c>
      <c r="F40" s="77" t="s">
        <v>380</v>
      </c>
      <c r="G40" s="75" t="s">
        <v>382</v>
      </c>
    </row>
    <row r="46" spans="1:9" ht="19.8">
      <c r="E46" s="72" t="s">
        <v>395</v>
      </c>
      <c r="I46" s="72" t="s">
        <v>394</v>
      </c>
    </row>
  </sheetData>
  <mergeCells count="12">
    <mergeCell ref="A1:B1"/>
    <mergeCell ref="E19:G19"/>
    <mergeCell ref="E28:G28"/>
    <mergeCell ref="E38:G38"/>
    <mergeCell ref="C8:E8"/>
    <mergeCell ref="A19:C19"/>
    <mergeCell ref="A28:C28"/>
    <mergeCell ref="A38:C38"/>
    <mergeCell ref="A11:C11"/>
    <mergeCell ref="E11:G11"/>
    <mergeCell ref="E13:G13"/>
    <mergeCell ref="A13:C13"/>
  </mergeCells>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
  <sheetViews>
    <sheetView workbookViewId="0">
      <selection sqref="A1:B1"/>
    </sheetView>
  </sheetViews>
  <sheetFormatPr defaultRowHeight="16.2"/>
  <cols>
    <col min="1" max="1" width="6.77734375" bestFit="1" customWidth="1"/>
    <col min="2" max="2" width="26.6640625" customWidth="1"/>
    <col min="3" max="3" width="23.77734375" customWidth="1"/>
    <col min="4" max="4" width="17.33203125" bestFit="1" customWidth="1"/>
    <col min="5" max="5" width="17.33203125" customWidth="1"/>
    <col min="6" max="6" width="14.6640625" bestFit="1" customWidth="1"/>
    <col min="7" max="7" width="24" customWidth="1"/>
    <col min="8" max="8" width="10" customWidth="1"/>
  </cols>
  <sheetData>
    <row r="1" spans="1:9" ht="22.2">
      <c r="A1" s="310" t="s">
        <v>962</v>
      </c>
      <c r="B1" s="310"/>
      <c r="C1" s="196"/>
      <c r="D1" s="196"/>
      <c r="E1" s="196"/>
      <c r="F1" s="196"/>
      <c r="G1" s="196"/>
    </row>
    <row r="2" spans="1:9" ht="22.2">
      <c r="A2" s="196"/>
      <c r="B2" s="196"/>
      <c r="C2" s="196"/>
      <c r="D2" s="196"/>
      <c r="E2" s="196"/>
      <c r="F2" s="196"/>
      <c r="G2" s="196"/>
    </row>
    <row r="3" spans="1:9" ht="22.2">
      <c r="A3" s="202" t="s">
        <v>912</v>
      </c>
      <c r="B3" s="197" t="s">
        <v>292</v>
      </c>
      <c r="C3" s="196"/>
      <c r="D3" s="196"/>
      <c r="E3" s="196"/>
      <c r="F3" s="196"/>
      <c r="G3" s="196"/>
      <c r="I3" s="72" t="s">
        <v>322</v>
      </c>
    </row>
    <row r="4" spans="1:9" ht="19.8">
      <c r="A4" s="202" t="s">
        <v>89</v>
      </c>
      <c r="B4" s="202" t="s">
        <v>325</v>
      </c>
      <c r="C4" s="202" t="s">
        <v>320</v>
      </c>
      <c r="D4" s="202" t="s">
        <v>321</v>
      </c>
      <c r="E4" s="65"/>
      <c r="F4" s="65"/>
      <c r="G4" s="65"/>
    </row>
    <row r="5" spans="1:9" ht="18">
      <c r="A5" s="51">
        <v>1</v>
      </c>
      <c r="B5" s="204" t="s">
        <v>318</v>
      </c>
      <c r="C5" s="204">
        <v>9</v>
      </c>
      <c r="D5" s="204">
        <v>27.5</v>
      </c>
      <c r="E5" s="71"/>
      <c r="F5" s="71"/>
      <c r="G5" s="71"/>
    </row>
    <row r="6" spans="1:9" ht="18">
      <c r="A6" s="51">
        <v>2</v>
      </c>
      <c r="B6" s="204" t="s">
        <v>319</v>
      </c>
      <c r="C6" s="204">
        <v>11</v>
      </c>
      <c r="D6" s="204">
        <v>33</v>
      </c>
      <c r="E6" s="71"/>
      <c r="F6" s="71"/>
      <c r="G6" s="71"/>
    </row>
    <row r="7" spans="1:9" ht="18">
      <c r="A7" s="51">
        <v>3</v>
      </c>
      <c r="B7" s="204" t="s">
        <v>913</v>
      </c>
      <c r="C7" s="204">
        <v>13</v>
      </c>
      <c r="D7" s="204">
        <v>40</v>
      </c>
      <c r="E7" s="71"/>
      <c r="F7" s="71"/>
      <c r="G7" s="71"/>
    </row>
    <row r="8" spans="1:9" ht="19.8">
      <c r="A8" s="202" t="s">
        <v>89</v>
      </c>
      <c r="B8" s="202" t="s">
        <v>247</v>
      </c>
      <c r="C8" s="341" t="s">
        <v>296</v>
      </c>
      <c r="D8" s="341"/>
      <c r="E8" s="65"/>
      <c r="F8" s="71"/>
      <c r="G8" s="71"/>
    </row>
    <row r="9" spans="1:9" ht="19.8">
      <c r="A9" s="51">
        <v>4</v>
      </c>
      <c r="B9" s="202" t="s">
        <v>393</v>
      </c>
      <c r="C9" s="204">
        <v>640</v>
      </c>
      <c r="D9" s="204">
        <v>960</v>
      </c>
      <c r="E9" s="71"/>
      <c r="F9" s="71"/>
      <c r="G9" s="71"/>
    </row>
    <row r="10" spans="1:9" ht="19.5" customHeight="1">
      <c r="A10" s="196"/>
      <c r="B10" s="196"/>
      <c r="C10" s="196"/>
      <c r="D10" s="196"/>
      <c r="E10" s="196"/>
      <c r="F10" s="196"/>
      <c r="G10" s="196"/>
    </row>
    <row r="11" spans="1:9" ht="19.8">
      <c r="A11" s="314" t="s">
        <v>914</v>
      </c>
      <c r="B11" s="314"/>
      <c r="C11" s="314"/>
      <c r="E11" s="314" t="s">
        <v>915</v>
      </c>
      <c r="F11" s="314"/>
      <c r="G11" s="314"/>
    </row>
    <row r="12" spans="1:9" ht="19.8">
      <c r="A12" s="200" t="s">
        <v>89</v>
      </c>
      <c r="B12" s="201" t="s">
        <v>345</v>
      </c>
      <c r="C12" s="201" t="s">
        <v>340</v>
      </c>
      <c r="E12" s="200" t="s">
        <v>89</v>
      </c>
      <c r="F12" s="201" t="s">
        <v>345</v>
      </c>
      <c r="G12" s="201" t="s">
        <v>340</v>
      </c>
    </row>
    <row r="13" spans="1:9" ht="19.8">
      <c r="A13" s="340" t="s">
        <v>346</v>
      </c>
      <c r="B13" s="340"/>
      <c r="C13" s="340"/>
      <c r="E13" s="340" t="s">
        <v>346</v>
      </c>
      <c r="F13" s="340"/>
      <c r="G13" s="340"/>
    </row>
    <row r="14" spans="1:9" ht="19.8">
      <c r="A14" s="201" t="s">
        <v>326</v>
      </c>
      <c r="B14" s="75" t="s">
        <v>341</v>
      </c>
      <c r="C14" s="76" t="s">
        <v>351</v>
      </c>
      <c r="E14" s="201" t="s">
        <v>326</v>
      </c>
      <c r="F14" s="75" t="s">
        <v>341</v>
      </c>
      <c r="G14" s="76" t="s">
        <v>351</v>
      </c>
    </row>
    <row r="15" spans="1:9" ht="19.8">
      <c r="A15" s="201" t="s">
        <v>385</v>
      </c>
      <c r="B15" s="198" t="s">
        <v>384</v>
      </c>
      <c r="C15" s="76" t="s">
        <v>352</v>
      </c>
      <c r="E15" s="201" t="s">
        <v>385</v>
      </c>
      <c r="F15" s="198" t="s">
        <v>384</v>
      </c>
      <c r="G15" s="76" t="s">
        <v>352</v>
      </c>
    </row>
    <row r="16" spans="1:9" ht="19.5" customHeight="1">
      <c r="A16" s="201" t="s">
        <v>327</v>
      </c>
      <c r="B16" s="75" t="s">
        <v>342</v>
      </c>
      <c r="C16" s="76" t="s">
        <v>916</v>
      </c>
      <c r="E16" s="201" t="s">
        <v>327</v>
      </c>
      <c r="F16" s="75" t="s">
        <v>342</v>
      </c>
      <c r="G16" s="76" t="s">
        <v>352</v>
      </c>
      <c r="I16" s="72" t="s">
        <v>323</v>
      </c>
    </row>
    <row r="17" spans="1:9" ht="19.8">
      <c r="A17" s="201" t="s">
        <v>328</v>
      </c>
      <c r="B17" s="198" t="s">
        <v>917</v>
      </c>
      <c r="C17" s="78" t="s">
        <v>918</v>
      </c>
      <c r="E17" s="201" t="s">
        <v>328</v>
      </c>
      <c r="F17" s="198" t="s">
        <v>917</v>
      </c>
      <c r="G17" s="78" t="s">
        <v>919</v>
      </c>
    </row>
    <row r="18" spans="1:9" ht="19.8">
      <c r="A18" s="340" t="s">
        <v>348</v>
      </c>
      <c r="B18" s="340"/>
      <c r="C18" s="340"/>
      <c r="E18" s="340" t="s">
        <v>348</v>
      </c>
      <c r="F18" s="340"/>
      <c r="G18" s="340"/>
    </row>
    <row r="19" spans="1:9" ht="19.8">
      <c r="A19" s="201" t="s">
        <v>920</v>
      </c>
      <c r="B19" s="198" t="s">
        <v>365</v>
      </c>
      <c r="C19" s="76" t="s">
        <v>941</v>
      </c>
      <c r="E19" s="201" t="s">
        <v>920</v>
      </c>
      <c r="F19" s="198" t="s">
        <v>365</v>
      </c>
      <c r="G19" s="76" t="s">
        <v>941</v>
      </c>
    </row>
    <row r="20" spans="1:9" ht="19.8">
      <c r="A20" s="201" t="s">
        <v>921</v>
      </c>
      <c r="B20" s="198" t="s">
        <v>939</v>
      </c>
      <c r="C20" s="76" t="s">
        <v>942</v>
      </c>
      <c r="E20" s="201" t="s">
        <v>921</v>
      </c>
      <c r="F20" s="198" t="s">
        <v>939</v>
      </c>
      <c r="G20" s="76" t="s">
        <v>942</v>
      </c>
    </row>
    <row r="21" spans="1:9" ht="19.8">
      <c r="A21" s="201" t="s">
        <v>922</v>
      </c>
      <c r="B21" s="198" t="s">
        <v>938</v>
      </c>
      <c r="C21" s="76" t="s">
        <v>942</v>
      </c>
      <c r="E21" s="201" t="s">
        <v>922</v>
      </c>
      <c r="F21" s="198" t="s">
        <v>938</v>
      </c>
      <c r="G21" s="76" t="s">
        <v>942</v>
      </c>
    </row>
    <row r="22" spans="1:9" ht="19.8">
      <c r="A22" s="201" t="s">
        <v>923</v>
      </c>
      <c r="B22" s="198" t="s">
        <v>940</v>
      </c>
      <c r="C22" s="76" t="s">
        <v>943</v>
      </c>
      <c r="E22" s="201" t="s">
        <v>923</v>
      </c>
      <c r="F22" s="198" t="s">
        <v>940</v>
      </c>
      <c r="G22" s="76" t="s">
        <v>943</v>
      </c>
    </row>
    <row r="23" spans="1:9" ht="19.8">
      <c r="A23" s="201" t="s">
        <v>924</v>
      </c>
      <c r="B23" s="198" t="s">
        <v>932</v>
      </c>
      <c r="C23" s="76" t="s">
        <v>337</v>
      </c>
      <c r="E23" s="201" t="s">
        <v>924</v>
      </c>
      <c r="F23" s="198" t="s">
        <v>932</v>
      </c>
      <c r="G23" s="76" t="s">
        <v>942</v>
      </c>
    </row>
    <row r="24" spans="1:9" ht="19.8">
      <c r="A24" s="201" t="s">
        <v>925</v>
      </c>
      <c r="B24" s="198" t="s">
        <v>933</v>
      </c>
      <c r="C24" s="76" t="s">
        <v>941</v>
      </c>
      <c r="E24" s="201" t="s">
        <v>925</v>
      </c>
      <c r="F24" s="198" t="s">
        <v>933</v>
      </c>
      <c r="G24" s="76" t="s">
        <v>941</v>
      </c>
    </row>
    <row r="25" spans="1:9" ht="37.799999999999997">
      <c r="A25" s="201" t="s">
        <v>926</v>
      </c>
      <c r="B25" s="198" t="s">
        <v>367</v>
      </c>
      <c r="C25" s="198" t="s">
        <v>946</v>
      </c>
      <c r="E25" s="201" t="s">
        <v>926</v>
      </c>
      <c r="F25" s="198" t="s">
        <v>367</v>
      </c>
      <c r="G25" s="198" t="s">
        <v>376</v>
      </c>
    </row>
    <row r="26" spans="1:9" ht="19.8">
      <c r="A26" s="201" t="s">
        <v>927</v>
      </c>
      <c r="B26" s="198" t="s">
        <v>934</v>
      </c>
      <c r="C26" s="76" t="s">
        <v>337</v>
      </c>
      <c r="E26" s="201" t="s">
        <v>927</v>
      </c>
      <c r="F26" s="198" t="s">
        <v>934</v>
      </c>
      <c r="G26" s="76" t="s">
        <v>337</v>
      </c>
    </row>
    <row r="27" spans="1:9" ht="19.8">
      <c r="A27" s="201" t="s">
        <v>928</v>
      </c>
      <c r="B27" s="198" t="s">
        <v>935</v>
      </c>
      <c r="C27" s="201" t="s">
        <v>944</v>
      </c>
      <c r="E27" s="201" t="s">
        <v>928</v>
      </c>
      <c r="F27" s="198" t="s">
        <v>935</v>
      </c>
      <c r="G27" s="201" t="s">
        <v>944</v>
      </c>
    </row>
    <row r="28" spans="1:9" ht="19.8">
      <c r="A28" s="201" t="s">
        <v>929</v>
      </c>
      <c r="B28" s="198" t="s">
        <v>936</v>
      </c>
      <c r="C28" s="76" t="s">
        <v>337</v>
      </c>
      <c r="E28" s="201" t="s">
        <v>929</v>
      </c>
      <c r="F28" s="198" t="s">
        <v>936</v>
      </c>
      <c r="G28" s="76" t="s">
        <v>337</v>
      </c>
      <c r="I28" s="72" t="s">
        <v>324</v>
      </c>
    </row>
    <row r="29" spans="1:9" ht="19.8">
      <c r="A29" s="201" t="s">
        <v>930</v>
      </c>
      <c r="B29" s="198" t="s">
        <v>372</v>
      </c>
      <c r="C29" s="76" t="s">
        <v>945</v>
      </c>
      <c r="E29" s="201" t="s">
        <v>930</v>
      </c>
      <c r="F29" s="198" t="s">
        <v>372</v>
      </c>
      <c r="G29" s="76" t="s">
        <v>945</v>
      </c>
    </row>
    <row r="30" spans="1:9" ht="37.799999999999997">
      <c r="A30" s="201" t="s">
        <v>931</v>
      </c>
      <c r="B30" s="198" t="s">
        <v>937</v>
      </c>
      <c r="C30" s="198" t="s">
        <v>946</v>
      </c>
      <c r="E30" s="201" t="s">
        <v>931</v>
      </c>
      <c r="F30" s="198" t="s">
        <v>937</v>
      </c>
      <c r="G30" s="198" t="s">
        <v>376</v>
      </c>
    </row>
    <row r="31" spans="1:9" ht="19.5" customHeight="1">
      <c r="A31" s="339" t="s">
        <v>349</v>
      </c>
      <c r="B31" s="339"/>
      <c r="C31" s="339"/>
      <c r="E31" s="339" t="s">
        <v>349</v>
      </c>
      <c r="F31" s="339"/>
      <c r="G31" s="339"/>
    </row>
    <row r="32" spans="1:9" ht="19.8">
      <c r="A32" s="201" t="s">
        <v>339</v>
      </c>
      <c r="B32" s="198" t="s">
        <v>103</v>
      </c>
      <c r="C32" s="75" t="s">
        <v>947</v>
      </c>
      <c r="E32" s="201" t="s">
        <v>339</v>
      </c>
      <c r="F32" s="198" t="s">
        <v>103</v>
      </c>
      <c r="G32" s="75" t="s">
        <v>947</v>
      </c>
    </row>
    <row r="33" spans="1:9" ht="19.8">
      <c r="A33" s="201" t="s">
        <v>950</v>
      </c>
      <c r="B33" s="198" t="s">
        <v>949</v>
      </c>
      <c r="C33" s="76" t="s">
        <v>381</v>
      </c>
      <c r="E33" s="201" t="s">
        <v>950</v>
      </c>
      <c r="F33" s="198" t="s">
        <v>949</v>
      </c>
      <c r="G33" s="76" t="s">
        <v>381</v>
      </c>
    </row>
    <row r="34" spans="1:9" ht="19.8">
      <c r="A34" s="201" t="s">
        <v>951</v>
      </c>
      <c r="B34" s="198" t="s">
        <v>949</v>
      </c>
      <c r="C34" s="76" t="s">
        <v>948</v>
      </c>
      <c r="E34" s="201" t="s">
        <v>951</v>
      </c>
      <c r="F34" s="198" t="s">
        <v>949</v>
      </c>
      <c r="G34" s="76" t="s">
        <v>948</v>
      </c>
    </row>
    <row r="39" spans="1:9" ht="19.8">
      <c r="A39" s="314" t="s">
        <v>952</v>
      </c>
      <c r="B39" s="314"/>
      <c r="C39" s="314"/>
      <c r="F39" s="72" t="s">
        <v>395</v>
      </c>
      <c r="I39" s="72" t="s">
        <v>394</v>
      </c>
    </row>
    <row r="40" spans="1:9" ht="19.8">
      <c r="A40" s="200" t="s">
        <v>89</v>
      </c>
      <c r="B40" s="201" t="s">
        <v>345</v>
      </c>
      <c r="C40" s="201" t="s">
        <v>340</v>
      </c>
    </row>
    <row r="41" spans="1:9" ht="19.8">
      <c r="A41" s="340" t="s">
        <v>346</v>
      </c>
      <c r="B41" s="340"/>
      <c r="C41" s="340"/>
    </row>
    <row r="42" spans="1:9" ht="19.8">
      <c r="A42" s="201" t="s">
        <v>326</v>
      </c>
      <c r="B42" s="75" t="s">
        <v>341</v>
      </c>
      <c r="C42" s="76" t="s">
        <v>953</v>
      </c>
    </row>
    <row r="43" spans="1:9" ht="19.8">
      <c r="A43" s="201" t="s">
        <v>385</v>
      </c>
      <c r="B43" s="198" t="s">
        <v>384</v>
      </c>
      <c r="C43" s="76" t="s">
        <v>954</v>
      </c>
    </row>
    <row r="44" spans="1:9" ht="19.8">
      <c r="A44" s="201" t="s">
        <v>327</v>
      </c>
      <c r="B44" s="75" t="s">
        <v>342</v>
      </c>
      <c r="C44" s="76" t="s">
        <v>954</v>
      </c>
    </row>
    <row r="45" spans="1:9" ht="19.8">
      <c r="A45" s="201" t="s">
        <v>328</v>
      </c>
      <c r="B45" s="198" t="s">
        <v>917</v>
      </c>
      <c r="C45" s="78" t="s">
        <v>955</v>
      </c>
    </row>
    <row r="46" spans="1:9" ht="19.8">
      <c r="A46" s="340" t="s">
        <v>348</v>
      </c>
      <c r="B46" s="340"/>
      <c r="C46" s="340"/>
    </row>
    <row r="47" spans="1:9" ht="19.8">
      <c r="A47" s="201" t="s">
        <v>920</v>
      </c>
      <c r="B47" s="198" t="s">
        <v>365</v>
      </c>
      <c r="C47" s="76" t="s">
        <v>941</v>
      </c>
    </row>
    <row r="48" spans="1:9" ht="19.8">
      <c r="A48" s="201" t="s">
        <v>921</v>
      </c>
      <c r="B48" s="198" t="s">
        <v>939</v>
      </c>
      <c r="C48" s="76" t="s">
        <v>956</v>
      </c>
    </row>
    <row r="49" spans="1:3" ht="19.8">
      <c r="A49" s="201" t="s">
        <v>922</v>
      </c>
      <c r="B49" s="198" t="s">
        <v>938</v>
      </c>
      <c r="C49" s="76" t="s">
        <v>956</v>
      </c>
    </row>
    <row r="50" spans="1:3" ht="19.8">
      <c r="A50" s="201" t="s">
        <v>923</v>
      </c>
      <c r="B50" s="198" t="s">
        <v>940</v>
      </c>
      <c r="C50" s="76" t="s">
        <v>957</v>
      </c>
    </row>
    <row r="51" spans="1:3" ht="19.8">
      <c r="A51" s="201" t="s">
        <v>924</v>
      </c>
      <c r="B51" s="198" t="s">
        <v>932</v>
      </c>
      <c r="C51" s="76" t="s">
        <v>956</v>
      </c>
    </row>
    <row r="52" spans="1:3" ht="19.8">
      <c r="A52" s="201" t="s">
        <v>925</v>
      </c>
      <c r="B52" s="198" t="s">
        <v>933</v>
      </c>
      <c r="C52" s="76" t="s">
        <v>941</v>
      </c>
    </row>
    <row r="53" spans="1:3" ht="37.799999999999997">
      <c r="A53" s="201" t="s">
        <v>926</v>
      </c>
      <c r="B53" s="198" t="s">
        <v>367</v>
      </c>
      <c r="C53" s="198" t="s">
        <v>376</v>
      </c>
    </row>
    <row r="54" spans="1:3" ht="19.8">
      <c r="A54" s="201" t="s">
        <v>927</v>
      </c>
      <c r="B54" s="198" t="s">
        <v>934</v>
      </c>
      <c r="C54" s="76" t="s">
        <v>337</v>
      </c>
    </row>
    <row r="55" spans="1:3" ht="19.8">
      <c r="A55" s="201" t="s">
        <v>928</v>
      </c>
      <c r="B55" s="198" t="s">
        <v>935</v>
      </c>
      <c r="C55" s="201" t="s">
        <v>944</v>
      </c>
    </row>
    <row r="56" spans="1:3" ht="19.8">
      <c r="A56" s="201" t="s">
        <v>929</v>
      </c>
      <c r="B56" s="198" t="s">
        <v>936</v>
      </c>
      <c r="C56" s="76" t="s">
        <v>956</v>
      </c>
    </row>
    <row r="57" spans="1:3" ht="19.8">
      <c r="A57" s="201" t="s">
        <v>930</v>
      </c>
      <c r="B57" s="198" t="s">
        <v>372</v>
      </c>
      <c r="C57" s="76" t="s">
        <v>945</v>
      </c>
    </row>
    <row r="58" spans="1:3" ht="37.799999999999997">
      <c r="A58" s="201" t="s">
        <v>931</v>
      </c>
      <c r="B58" s="198" t="s">
        <v>937</v>
      </c>
      <c r="C58" s="198" t="s">
        <v>376</v>
      </c>
    </row>
    <row r="59" spans="1:3" ht="19.8">
      <c r="A59" s="339" t="s">
        <v>349</v>
      </c>
      <c r="B59" s="339"/>
      <c r="C59" s="339"/>
    </row>
    <row r="60" spans="1:3" ht="19.8">
      <c r="A60" s="201" t="s">
        <v>339</v>
      </c>
      <c r="B60" s="198" t="s">
        <v>103</v>
      </c>
      <c r="C60" s="75" t="s">
        <v>947</v>
      </c>
    </row>
    <row r="61" spans="1:3" ht="19.8">
      <c r="A61" s="201" t="s">
        <v>950</v>
      </c>
      <c r="B61" s="198" t="s">
        <v>949</v>
      </c>
      <c r="C61" s="76" t="s">
        <v>381</v>
      </c>
    </row>
    <row r="62" spans="1:3" ht="19.8">
      <c r="A62" s="201" t="s">
        <v>951</v>
      </c>
      <c r="B62" s="198" t="s">
        <v>949</v>
      </c>
      <c r="C62" s="76" t="s">
        <v>948</v>
      </c>
    </row>
  </sheetData>
  <mergeCells count="14">
    <mergeCell ref="E18:G18"/>
    <mergeCell ref="A31:C31"/>
    <mergeCell ref="E31:G31"/>
    <mergeCell ref="A1:B1"/>
    <mergeCell ref="A11:C11"/>
    <mergeCell ref="E11:G11"/>
    <mergeCell ref="A13:C13"/>
    <mergeCell ref="E13:G13"/>
    <mergeCell ref="C8:D8"/>
    <mergeCell ref="A39:C39"/>
    <mergeCell ref="A41:C41"/>
    <mergeCell ref="A46:C46"/>
    <mergeCell ref="A59:C59"/>
    <mergeCell ref="A18:C18"/>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
  <sheetViews>
    <sheetView workbookViewId="0">
      <selection sqref="A1:B1"/>
    </sheetView>
  </sheetViews>
  <sheetFormatPr defaultRowHeight="16.2"/>
  <cols>
    <col min="1" max="1" width="11.88671875" bestFit="1" customWidth="1"/>
    <col min="2" max="2" width="20.88671875" customWidth="1"/>
    <col min="3" max="3" width="14.6640625" bestFit="1" customWidth="1"/>
    <col min="4" max="4" width="17.33203125" bestFit="1" customWidth="1"/>
    <col min="5" max="5" width="9.44140625" customWidth="1"/>
    <col min="6" max="7" width="11.88671875" bestFit="1" customWidth="1"/>
    <col min="8" max="8" width="14.33203125" bestFit="1" customWidth="1"/>
    <col min="15" max="15" width="17.44140625" customWidth="1"/>
  </cols>
  <sheetData>
    <row r="1" spans="1:9" ht="22.2">
      <c r="A1" s="310" t="s">
        <v>1078</v>
      </c>
      <c r="B1" s="310"/>
      <c r="C1" s="196"/>
      <c r="D1" s="196"/>
      <c r="E1" s="196"/>
      <c r="F1" s="196"/>
      <c r="G1" s="196"/>
    </row>
    <row r="2" spans="1:9" ht="22.2">
      <c r="A2" s="196"/>
      <c r="B2" s="196"/>
      <c r="C2" s="196"/>
      <c r="D2" s="196"/>
      <c r="E2" s="196"/>
      <c r="F2" s="196"/>
      <c r="G2" s="196"/>
    </row>
    <row r="3" spans="1:9" ht="22.2">
      <c r="A3" s="236" t="s">
        <v>1079</v>
      </c>
      <c r="B3" s="234" t="s">
        <v>1080</v>
      </c>
      <c r="C3" s="196"/>
      <c r="D3" s="196"/>
      <c r="E3" s="196"/>
      <c r="F3" s="246" t="s">
        <v>1081</v>
      </c>
      <c r="G3" s="196"/>
      <c r="I3" s="246" t="s">
        <v>1082</v>
      </c>
    </row>
    <row r="4" spans="1:9" ht="19.8">
      <c r="A4" s="236" t="s">
        <v>1083</v>
      </c>
      <c r="B4" s="236" t="s">
        <v>1084</v>
      </c>
      <c r="C4" s="236" t="s">
        <v>1085</v>
      </c>
      <c r="D4" s="236" t="s">
        <v>1086</v>
      </c>
      <c r="E4" s="65"/>
      <c r="F4" s="65"/>
      <c r="G4" s="65"/>
    </row>
    <row r="5" spans="1:9" ht="19.8">
      <c r="A5" s="51">
        <v>1</v>
      </c>
      <c r="B5" s="242" t="s">
        <v>1087</v>
      </c>
      <c r="C5" s="242">
        <v>10</v>
      </c>
      <c r="D5" s="242">
        <v>30</v>
      </c>
      <c r="E5" s="71"/>
      <c r="F5" s="71"/>
      <c r="G5" s="71"/>
      <c r="I5" s="72"/>
    </row>
    <row r="6" spans="1:9" ht="18">
      <c r="A6" s="51"/>
      <c r="B6" s="242"/>
      <c r="C6" s="71"/>
      <c r="D6" s="71"/>
      <c r="E6" s="71"/>
      <c r="F6" s="71"/>
      <c r="G6" s="71"/>
    </row>
    <row r="7" spans="1:9" ht="19.8">
      <c r="A7" s="236" t="s">
        <v>1083</v>
      </c>
      <c r="B7" s="236" t="s">
        <v>1088</v>
      </c>
      <c r="C7" s="336" t="s">
        <v>1089</v>
      </c>
      <c r="D7" s="337"/>
      <c r="E7" s="338"/>
      <c r="F7" s="71"/>
      <c r="G7" s="71"/>
    </row>
    <row r="8" spans="1:9" ht="19.8">
      <c r="A8" s="51">
        <v>2</v>
      </c>
      <c r="B8" s="236" t="s">
        <v>1090</v>
      </c>
      <c r="C8" s="238" t="s">
        <v>1091</v>
      </c>
      <c r="D8" s="238" t="s">
        <v>1092</v>
      </c>
      <c r="E8" s="238" t="s">
        <v>1093</v>
      </c>
      <c r="F8" s="71"/>
      <c r="G8" s="71"/>
    </row>
    <row r="9" spans="1:9" ht="19.5" customHeight="1">
      <c r="A9" s="196"/>
      <c r="B9" s="196"/>
      <c r="C9" s="196"/>
      <c r="D9" s="196"/>
      <c r="E9" s="196"/>
      <c r="F9" s="196"/>
      <c r="G9" s="196"/>
    </row>
    <row r="10" spans="1:9" ht="19.5" customHeight="1">
      <c r="A10" s="314" t="s">
        <v>1094</v>
      </c>
      <c r="B10" s="314"/>
      <c r="C10" s="196"/>
      <c r="D10" s="246" t="s">
        <v>1095</v>
      </c>
      <c r="E10" s="196"/>
      <c r="F10" s="246" t="s">
        <v>1096</v>
      </c>
      <c r="G10" s="196"/>
    </row>
    <row r="11" spans="1:9" ht="19.8">
      <c r="A11" s="235" t="s">
        <v>1097</v>
      </c>
      <c r="B11" s="238" t="s">
        <v>1098</v>
      </c>
      <c r="C11" s="235" t="s">
        <v>1099</v>
      </c>
    </row>
    <row r="12" spans="1:9" ht="18">
      <c r="A12" s="238" t="s">
        <v>1100</v>
      </c>
      <c r="B12" s="238" t="s">
        <v>1101</v>
      </c>
      <c r="C12" s="238" t="s">
        <v>1102</v>
      </c>
    </row>
    <row r="13" spans="1:9" ht="18">
      <c r="A13" s="238" t="s">
        <v>1103</v>
      </c>
      <c r="B13" s="238" t="s">
        <v>1104</v>
      </c>
      <c r="C13" s="238" t="s">
        <v>1105</v>
      </c>
    </row>
    <row r="14" spans="1:9" ht="18">
      <c r="A14" s="238" t="s">
        <v>328</v>
      </c>
      <c r="B14" s="238" t="s">
        <v>1106</v>
      </c>
      <c r="C14" s="238" t="s">
        <v>1107</v>
      </c>
    </row>
    <row r="15" spans="1:9" ht="18">
      <c r="A15" s="238" t="s">
        <v>1108</v>
      </c>
      <c r="B15" s="238" t="s">
        <v>1104</v>
      </c>
      <c r="C15" s="238" t="s">
        <v>1105</v>
      </c>
    </row>
    <row r="16" spans="1:9" ht="18">
      <c r="A16" s="238" t="s">
        <v>1109</v>
      </c>
      <c r="B16" s="238" t="s">
        <v>1106</v>
      </c>
      <c r="C16" s="238" t="s">
        <v>1107</v>
      </c>
      <c r="D16" s="150"/>
      <c r="E16" s="150"/>
      <c r="F16" s="150"/>
      <c r="G16" s="150"/>
      <c r="H16" s="150"/>
    </row>
    <row r="17" spans="1:9" ht="18">
      <c r="A17" s="238" t="s">
        <v>922</v>
      </c>
      <c r="B17" s="238" t="s">
        <v>1110</v>
      </c>
      <c r="C17" s="238" t="s">
        <v>1111</v>
      </c>
      <c r="D17" s="150"/>
      <c r="E17" s="150"/>
      <c r="F17" s="150"/>
      <c r="G17" s="150"/>
      <c r="H17" s="150"/>
    </row>
    <row r="18" spans="1:9" ht="19.8">
      <c r="E18" s="72"/>
    </row>
    <row r="19" spans="1:9" ht="19.5" customHeight="1">
      <c r="A19" s="335" t="s">
        <v>1112</v>
      </c>
      <c r="B19" s="335"/>
      <c r="I19" s="72"/>
    </row>
    <row r="20" spans="1:9" ht="39.6">
      <c r="A20" s="238" t="s">
        <v>414</v>
      </c>
      <c r="B20" s="235" t="s">
        <v>1113</v>
      </c>
      <c r="C20" s="235" t="s">
        <v>1114</v>
      </c>
      <c r="D20" s="235" t="s">
        <v>1115</v>
      </c>
      <c r="E20" s="235" t="s">
        <v>1116</v>
      </c>
      <c r="F20" s="235" t="s">
        <v>1117</v>
      </c>
      <c r="G20" s="235" t="s">
        <v>1118</v>
      </c>
      <c r="H20" s="235" t="s">
        <v>1119</v>
      </c>
      <c r="I20" s="235" t="s">
        <v>1120</v>
      </c>
    </row>
    <row r="21" spans="1:9" ht="19.8">
      <c r="A21" s="238" t="s">
        <v>1121</v>
      </c>
      <c r="B21" s="238" t="s">
        <v>1091</v>
      </c>
      <c r="C21" s="238" t="s">
        <v>1122</v>
      </c>
      <c r="D21" s="238" t="s">
        <v>1123</v>
      </c>
      <c r="E21" s="238" t="s">
        <v>1124</v>
      </c>
      <c r="F21" s="238" t="s">
        <v>1103</v>
      </c>
      <c r="G21" s="238" t="s">
        <v>1125</v>
      </c>
      <c r="H21" s="238" t="s">
        <v>1126</v>
      </c>
      <c r="I21" s="238" t="s">
        <v>1127</v>
      </c>
    </row>
    <row r="22" spans="1:9" ht="19.8">
      <c r="A22" s="238" t="s">
        <v>1128</v>
      </c>
      <c r="B22" s="238" t="s">
        <v>1092</v>
      </c>
      <c r="C22" s="238" t="s">
        <v>1122</v>
      </c>
      <c r="D22" s="238" t="s">
        <v>1123</v>
      </c>
      <c r="E22" s="238" t="s">
        <v>1124</v>
      </c>
      <c r="F22" s="238" t="s">
        <v>1100</v>
      </c>
      <c r="G22" s="238" t="s">
        <v>1129</v>
      </c>
      <c r="H22" s="238" t="s">
        <v>1130</v>
      </c>
      <c r="I22" s="238" t="s">
        <v>1127</v>
      </c>
    </row>
    <row r="23" spans="1:9" ht="19.8">
      <c r="A23" s="238" t="s">
        <v>1131</v>
      </c>
      <c r="B23" s="238" t="s">
        <v>1093</v>
      </c>
      <c r="C23" s="238" t="s">
        <v>1122</v>
      </c>
      <c r="D23" s="238" t="s">
        <v>1123</v>
      </c>
      <c r="E23" s="238" t="s">
        <v>1124</v>
      </c>
      <c r="F23" s="238" t="s">
        <v>1100</v>
      </c>
      <c r="G23" s="238" t="s">
        <v>1132</v>
      </c>
      <c r="H23" s="238" t="s">
        <v>1130</v>
      </c>
      <c r="I23" s="238" t="s">
        <v>1108</v>
      </c>
    </row>
    <row r="25" spans="1:9" ht="19.5" customHeight="1">
      <c r="A25" s="150" t="s">
        <v>1121</v>
      </c>
      <c r="E25" s="150" t="s">
        <v>1128</v>
      </c>
    </row>
    <row r="32" spans="1:9" ht="19.8">
      <c r="I32" s="72"/>
    </row>
    <row r="35" spans="1:10" ht="19.8">
      <c r="I35" s="72"/>
    </row>
    <row r="37" spans="1:10" ht="19.8">
      <c r="A37" s="342" t="s">
        <v>1133</v>
      </c>
      <c r="B37" s="342"/>
      <c r="C37" s="342" t="s">
        <v>1134</v>
      </c>
      <c r="D37" s="342"/>
      <c r="E37" s="342" t="s">
        <v>1133</v>
      </c>
      <c r="F37" s="342"/>
      <c r="G37" s="342"/>
      <c r="H37" s="342" t="s">
        <v>1134</v>
      </c>
      <c r="I37" s="342"/>
      <c r="J37" s="342"/>
    </row>
    <row r="38" spans="1:10" ht="19.5" customHeight="1">
      <c r="A38" s="150" t="s">
        <v>1131</v>
      </c>
    </row>
    <row r="40" spans="1:10" ht="19.8">
      <c r="H40" s="342"/>
      <c r="I40" s="342"/>
    </row>
    <row r="45" spans="1:10" ht="19.8">
      <c r="E45" s="72"/>
    </row>
    <row r="46" spans="1:10" ht="19.8">
      <c r="I46" s="72"/>
    </row>
    <row r="48" spans="1:10" ht="19.8">
      <c r="E48" s="72"/>
    </row>
    <row r="50" spans="1:4" ht="19.8">
      <c r="A50" s="342" t="s">
        <v>1133</v>
      </c>
      <c r="B50" s="342"/>
      <c r="C50" s="342" t="s">
        <v>1134</v>
      </c>
      <c r="D50" s="342"/>
    </row>
  </sheetData>
  <mergeCells count="11">
    <mergeCell ref="H37:J37"/>
    <mergeCell ref="H40:I40"/>
    <mergeCell ref="A50:B50"/>
    <mergeCell ref="C50:D50"/>
    <mergeCell ref="A1:B1"/>
    <mergeCell ref="C7:E7"/>
    <mergeCell ref="A10:B10"/>
    <mergeCell ref="A19:B19"/>
    <mergeCell ref="A37:B37"/>
    <mergeCell ref="C37:D37"/>
    <mergeCell ref="E37:G37"/>
  </mergeCells>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sqref="A1:B1"/>
    </sheetView>
  </sheetViews>
  <sheetFormatPr defaultRowHeight="16.2"/>
  <cols>
    <col min="1" max="1" width="10.33203125" customWidth="1"/>
    <col min="2" max="3" width="23" bestFit="1" customWidth="1"/>
    <col min="4" max="4" width="20.21875" bestFit="1" customWidth="1"/>
    <col min="5" max="5" width="23" bestFit="1" customWidth="1"/>
  </cols>
  <sheetData>
    <row r="1" spans="1:5" ht="22.2">
      <c r="A1" s="334" t="s">
        <v>1013</v>
      </c>
      <c r="B1" s="334"/>
      <c r="C1" s="166"/>
      <c r="D1" s="166"/>
    </row>
    <row r="2" spans="1:5" ht="22.2">
      <c r="A2" s="166"/>
      <c r="B2" s="166"/>
      <c r="C2" s="166"/>
      <c r="D2" s="166"/>
    </row>
    <row r="3" spans="1:5" ht="19.8">
      <c r="A3" s="50" t="s">
        <v>89</v>
      </c>
      <c r="B3" s="50" t="s">
        <v>247</v>
      </c>
    </row>
    <row r="4" spans="1:5" ht="19.8">
      <c r="A4" s="51" t="s">
        <v>794</v>
      </c>
      <c r="B4" s="40" t="s">
        <v>791</v>
      </c>
    </row>
    <row r="5" spans="1:5" ht="19.8">
      <c r="A5" s="51" t="s">
        <v>795</v>
      </c>
      <c r="B5" s="40" t="s">
        <v>876</v>
      </c>
      <c r="C5" s="70"/>
    </row>
    <row r="6" spans="1:5" ht="19.8">
      <c r="A6" s="51" t="s">
        <v>281</v>
      </c>
      <c r="B6" s="40" t="s">
        <v>792</v>
      </c>
      <c r="E6" s="70"/>
    </row>
  </sheetData>
  <mergeCells count="1">
    <mergeCell ref="A1:B1"/>
  </mergeCells>
  <phoneticPr fontId="1" type="noConversion"/>
  <hyperlinks>
    <hyperlink ref="B4" location="'B311'!A1" display="颱風侵襲路徑分析"/>
    <hyperlink ref="B6" location="'B313'!A1" display="溫室環境腐蝕分析"/>
    <hyperlink ref="B5" location="'B312'!A1" display="溫室環境溫度分析"/>
  </hyperlinks>
  <pageMargins left="0.7" right="0.7" top="0.75" bottom="0.75" header="0.3" footer="0.3"/>
  <pageSetup paperSize="9"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zoomScaleNormal="100" workbookViewId="0">
      <selection activeCell="K4" sqref="K4"/>
    </sheetView>
  </sheetViews>
  <sheetFormatPr defaultRowHeight="16.2"/>
  <cols>
    <col min="2" max="2" width="22.44140625" customWidth="1"/>
    <col min="3" max="3" width="17.44140625" bestFit="1" customWidth="1"/>
    <col min="4" max="6" width="6.21875" customWidth="1"/>
    <col min="7" max="7" width="11.88671875" bestFit="1" customWidth="1"/>
    <col min="8" max="9" width="6.21875" customWidth="1"/>
    <col min="10" max="10" width="11.33203125" customWidth="1"/>
    <col min="11" max="11" width="11.88671875" bestFit="1" customWidth="1"/>
    <col min="12" max="12" width="11.88671875" customWidth="1"/>
    <col min="13" max="13" width="12.109375" customWidth="1"/>
    <col min="14" max="14" width="9.88671875" customWidth="1"/>
    <col min="16" max="16" width="13.77734375" customWidth="1"/>
    <col min="18" max="18" width="13.109375" customWidth="1"/>
  </cols>
  <sheetData>
    <row r="1" spans="1:12" ht="22.2">
      <c r="A1" s="310" t="s">
        <v>1012</v>
      </c>
      <c r="B1" s="310"/>
    </row>
    <row r="2" spans="1:12" ht="22.2">
      <c r="A2" s="54"/>
    </row>
    <row r="3" spans="1:12" ht="57.6">
      <c r="A3" s="53" t="s">
        <v>89</v>
      </c>
      <c r="B3" s="53" t="s">
        <v>260</v>
      </c>
      <c r="C3" s="50" t="s">
        <v>867</v>
      </c>
      <c r="D3" s="336" t="s">
        <v>269</v>
      </c>
      <c r="E3" s="337"/>
      <c r="F3" s="338"/>
      <c r="G3" s="62" t="s">
        <v>270</v>
      </c>
      <c r="H3" s="336" t="s">
        <v>273</v>
      </c>
      <c r="I3" s="338"/>
      <c r="J3" s="254" t="s">
        <v>1136</v>
      </c>
      <c r="K3" s="254" t="s">
        <v>1137</v>
      </c>
      <c r="L3" s="234" t="s">
        <v>1138</v>
      </c>
    </row>
    <row r="4" spans="1:12" ht="22.2">
      <c r="A4" s="51">
        <v>1</v>
      </c>
      <c r="B4" s="148" t="s">
        <v>153</v>
      </c>
      <c r="C4" s="51">
        <v>2</v>
      </c>
      <c r="D4" s="178" t="s">
        <v>870</v>
      </c>
      <c r="E4" s="178" t="s">
        <v>253</v>
      </c>
      <c r="F4" s="178" t="s">
        <v>871</v>
      </c>
      <c r="G4" s="178" t="s">
        <v>871</v>
      </c>
      <c r="H4" s="178" t="s">
        <v>74</v>
      </c>
      <c r="I4" s="178" t="s">
        <v>1281</v>
      </c>
      <c r="J4" s="51">
        <v>31.2</v>
      </c>
      <c r="K4" s="51">
        <v>11</v>
      </c>
      <c r="L4" s="51" t="str">
        <f>IF('B11'!$C$6=B4,"V","-")</f>
        <v>-</v>
      </c>
    </row>
    <row r="5" spans="1:12" ht="22.2">
      <c r="A5" s="51">
        <v>2</v>
      </c>
      <c r="B5" s="148" t="s">
        <v>152</v>
      </c>
      <c r="C5" s="51">
        <v>2</v>
      </c>
      <c r="D5" s="178" t="s">
        <v>870</v>
      </c>
      <c r="E5" s="178" t="s">
        <v>253</v>
      </c>
      <c r="F5" s="55" t="s">
        <v>871</v>
      </c>
      <c r="G5" s="178" t="s">
        <v>871</v>
      </c>
      <c r="H5" s="178" t="s">
        <v>74</v>
      </c>
      <c r="I5" s="178" t="s">
        <v>240</v>
      </c>
      <c r="J5" s="51">
        <v>41.9</v>
      </c>
      <c r="K5" s="51">
        <v>14</v>
      </c>
      <c r="L5" s="51" t="str">
        <f>IF('B11'!$C$6=B5,"V","-")</f>
        <v>-</v>
      </c>
    </row>
    <row r="6" spans="1:12" ht="22.2">
      <c r="A6" s="51">
        <v>3</v>
      </c>
      <c r="B6" s="148" t="s">
        <v>154</v>
      </c>
      <c r="C6" s="51">
        <v>2</v>
      </c>
      <c r="D6" s="178" t="s">
        <v>86</v>
      </c>
      <c r="E6" s="178" t="s">
        <v>78</v>
      </c>
      <c r="F6" s="178" t="s">
        <v>253</v>
      </c>
      <c r="G6" s="178" t="s">
        <v>87</v>
      </c>
      <c r="H6" s="178" t="s">
        <v>74</v>
      </c>
      <c r="I6" s="178" t="s">
        <v>240</v>
      </c>
      <c r="J6" s="51">
        <v>47</v>
      </c>
      <c r="K6" s="51">
        <v>15</v>
      </c>
      <c r="L6" s="51" t="str">
        <f>IF('B11'!$C$6=B6,"V","-")</f>
        <v>-</v>
      </c>
    </row>
    <row r="7" spans="1:12" ht="22.2">
      <c r="A7" s="51">
        <v>4</v>
      </c>
      <c r="B7" s="148" t="s">
        <v>155</v>
      </c>
      <c r="C7" s="51">
        <v>2</v>
      </c>
      <c r="D7" s="178" t="s">
        <v>86</v>
      </c>
      <c r="E7" s="178" t="s">
        <v>78</v>
      </c>
      <c r="F7" s="178" t="s">
        <v>253</v>
      </c>
      <c r="G7" s="178" t="s">
        <v>87</v>
      </c>
      <c r="H7" s="178" t="s">
        <v>74</v>
      </c>
      <c r="I7" s="178" t="s">
        <v>240</v>
      </c>
      <c r="J7" s="51">
        <v>36.700000000000003</v>
      </c>
      <c r="K7" s="51">
        <v>12</v>
      </c>
      <c r="L7" s="51" t="str">
        <f>IF('B11'!$C$6=B7,"V","-")</f>
        <v>-</v>
      </c>
    </row>
    <row r="8" spans="1:12" ht="22.2">
      <c r="A8" s="51">
        <v>5</v>
      </c>
      <c r="B8" s="148" t="s">
        <v>156</v>
      </c>
      <c r="C8" s="51">
        <v>2</v>
      </c>
      <c r="D8" s="178" t="s">
        <v>86</v>
      </c>
      <c r="E8" s="178" t="s">
        <v>78</v>
      </c>
      <c r="F8" s="55" t="s">
        <v>871</v>
      </c>
      <c r="G8" s="178" t="s">
        <v>871</v>
      </c>
      <c r="H8" s="178" t="s">
        <v>74</v>
      </c>
      <c r="I8" s="178" t="s">
        <v>240</v>
      </c>
      <c r="J8" s="178" t="s">
        <v>240</v>
      </c>
      <c r="K8" s="178" t="s">
        <v>240</v>
      </c>
      <c r="L8" s="51" t="str">
        <f>IF('B11'!$C$6=B8,"V","-")</f>
        <v>-</v>
      </c>
    </row>
    <row r="9" spans="1:12" ht="22.2">
      <c r="A9" s="51">
        <v>6</v>
      </c>
      <c r="B9" s="148" t="s">
        <v>157</v>
      </c>
      <c r="C9" s="51">
        <v>3</v>
      </c>
      <c r="D9" s="178" t="s">
        <v>86</v>
      </c>
      <c r="E9" s="178" t="s">
        <v>78</v>
      </c>
      <c r="F9" s="178" t="s">
        <v>253</v>
      </c>
      <c r="G9" s="178" t="s">
        <v>87</v>
      </c>
      <c r="H9" s="178" t="s">
        <v>74</v>
      </c>
      <c r="I9" s="178" t="s">
        <v>240</v>
      </c>
      <c r="J9" s="51">
        <v>34.200000000000003</v>
      </c>
      <c r="K9" s="51">
        <v>12</v>
      </c>
      <c r="L9" s="51" t="str">
        <f>IF('B11'!$C$6=B9,"V","-")</f>
        <v>-</v>
      </c>
    </row>
    <row r="10" spans="1:12" ht="22.2">
      <c r="A10" s="51">
        <v>7</v>
      </c>
      <c r="B10" s="148" t="s">
        <v>158</v>
      </c>
      <c r="C10" s="51">
        <v>3</v>
      </c>
      <c r="D10" s="178" t="s">
        <v>86</v>
      </c>
      <c r="E10" s="178" t="s">
        <v>78</v>
      </c>
      <c r="F10" s="178" t="s">
        <v>869</v>
      </c>
      <c r="G10" s="178" t="s">
        <v>871</v>
      </c>
      <c r="H10" s="178" t="s">
        <v>74</v>
      </c>
      <c r="I10" s="178" t="s">
        <v>240</v>
      </c>
      <c r="J10" s="178" t="s">
        <v>240</v>
      </c>
      <c r="K10" s="178" t="s">
        <v>240</v>
      </c>
      <c r="L10" s="51" t="str">
        <f>IF('B11'!$C$6=B10,"V","-")</f>
        <v>-</v>
      </c>
    </row>
    <row r="11" spans="1:12" ht="22.2">
      <c r="A11" s="51">
        <v>8</v>
      </c>
      <c r="B11" s="148" t="s">
        <v>159</v>
      </c>
      <c r="C11" s="51">
        <v>3</v>
      </c>
      <c r="D11" s="178" t="s">
        <v>86</v>
      </c>
      <c r="E11" s="178" t="s">
        <v>78</v>
      </c>
      <c r="F11" s="178" t="s">
        <v>869</v>
      </c>
      <c r="G11" s="178" t="s">
        <v>871</v>
      </c>
      <c r="H11" s="178" t="s">
        <v>74</v>
      </c>
      <c r="I11" s="178" t="s">
        <v>240</v>
      </c>
      <c r="J11" s="178" t="s">
        <v>240</v>
      </c>
      <c r="K11" s="178" t="s">
        <v>240</v>
      </c>
      <c r="L11" s="51" t="str">
        <f>IF('B11'!$C$6=B11,"V","-")</f>
        <v>-</v>
      </c>
    </row>
    <row r="12" spans="1:12" ht="22.2">
      <c r="A12" s="51">
        <v>9</v>
      </c>
      <c r="B12" s="148" t="s">
        <v>160</v>
      </c>
      <c r="C12" s="51">
        <v>3</v>
      </c>
      <c r="D12" s="55" t="s">
        <v>256</v>
      </c>
      <c r="E12" s="55" t="s">
        <v>258</v>
      </c>
      <c r="F12" s="55" t="s">
        <v>271</v>
      </c>
      <c r="G12" s="55" t="s">
        <v>257</v>
      </c>
      <c r="H12" s="57" t="s">
        <v>272</v>
      </c>
      <c r="I12" s="57" t="s">
        <v>275</v>
      </c>
      <c r="J12" s="51">
        <v>33.799999999999997</v>
      </c>
      <c r="K12" s="51">
        <v>12</v>
      </c>
      <c r="L12" s="51" t="str">
        <f>IF('B11'!$C$6=B12,"V","-")</f>
        <v>V</v>
      </c>
    </row>
    <row r="13" spans="1:12" ht="22.2">
      <c r="A13" s="51">
        <v>10</v>
      </c>
      <c r="B13" s="148" t="s">
        <v>161</v>
      </c>
      <c r="C13" s="51">
        <v>4</v>
      </c>
      <c r="D13" s="178" t="s">
        <v>86</v>
      </c>
      <c r="E13" s="178" t="s">
        <v>78</v>
      </c>
      <c r="F13" s="178" t="s">
        <v>869</v>
      </c>
      <c r="G13" s="178" t="s">
        <v>871</v>
      </c>
      <c r="H13" s="178" t="s">
        <v>74</v>
      </c>
      <c r="I13" s="178" t="s">
        <v>240</v>
      </c>
      <c r="J13" s="51">
        <v>37.1</v>
      </c>
      <c r="K13" s="51">
        <v>13</v>
      </c>
      <c r="L13" s="51" t="str">
        <f>IF('B11'!$C$6=B13,"V","-")</f>
        <v>-</v>
      </c>
    </row>
    <row r="14" spans="1:12" ht="22.2">
      <c r="A14" s="51">
        <v>11</v>
      </c>
      <c r="B14" s="148" t="s">
        <v>162</v>
      </c>
      <c r="C14" s="51">
        <v>4</v>
      </c>
      <c r="D14" s="178" t="s">
        <v>86</v>
      </c>
      <c r="E14" s="178" t="s">
        <v>78</v>
      </c>
      <c r="F14" s="178" t="s">
        <v>869</v>
      </c>
      <c r="G14" s="178" t="s">
        <v>871</v>
      </c>
      <c r="H14" s="178" t="s">
        <v>74</v>
      </c>
      <c r="I14" s="178" t="s">
        <v>240</v>
      </c>
      <c r="J14" s="51">
        <v>39.1</v>
      </c>
      <c r="K14" s="51">
        <v>13</v>
      </c>
      <c r="L14" s="51" t="str">
        <f>IF('B11'!$C$6=B14,"V","-")</f>
        <v>-</v>
      </c>
    </row>
    <row r="15" spans="1:12" ht="22.2">
      <c r="A15" s="51">
        <v>12</v>
      </c>
      <c r="B15" s="148" t="s">
        <v>163</v>
      </c>
      <c r="C15" s="51">
        <v>4</v>
      </c>
      <c r="D15" s="178" t="s">
        <v>86</v>
      </c>
      <c r="E15" s="178" t="s">
        <v>78</v>
      </c>
      <c r="F15" s="178" t="s">
        <v>869</v>
      </c>
      <c r="G15" s="178" t="s">
        <v>871</v>
      </c>
      <c r="H15" s="178" t="s">
        <v>74</v>
      </c>
      <c r="I15" s="178" t="s">
        <v>240</v>
      </c>
      <c r="J15" s="51">
        <v>32.200000000000003</v>
      </c>
      <c r="K15" s="51">
        <v>11</v>
      </c>
      <c r="L15" s="51" t="str">
        <f>IF('B11'!$C$6=B15,"V","-")</f>
        <v>-</v>
      </c>
    </row>
    <row r="16" spans="1:12" ht="22.2">
      <c r="A16" s="51">
        <v>13</v>
      </c>
      <c r="B16" s="148" t="s">
        <v>725</v>
      </c>
      <c r="C16" s="51">
        <v>3</v>
      </c>
      <c r="D16" s="178" t="s">
        <v>86</v>
      </c>
      <c r="E16" s="178" t="s">
        <v>78</v>
      </c>
      <c r="F16" s="55" t="s">
        <v>871</v>
      </c>
      <c r="G16" s="178" t="s">
        <v>871</v>
      </c>
      <c r="H16" s="178" t="s">
        <v>74</v>
      </c>
      <c r="I16" s="178" t="s">
        <v>240</v>
      </c>
      <c r="J16" s="51">
        <v>43.8</v>
      </c>
      <c r="K16" s="51">
        <v>14</v>
      </c>
      <c r="L16" s="51" t="str">
        <f>IF('B11'!$C$6=B16,"V","-")</f>
        <v>-</v>
      </c>
    </row>
    <row r="17" spans="1:12" ht="22.2">
      <c r="A17" s="51">
        <v>14</v>
      </c>
      <c r="B17" s="148" t="s">
        <v>151</v>
      </c>
      <c r="C17" s="51">
        <v>2</v>
      </c>
      <c r="D17" s="178" t="s">
        <v>73</v>
      </c>
      <c r="E17" s="178" t="s">
        <v>78</v>
      </c>
      <c r="F17" s="148" t="s">
        <v>871</v>
      </c>
      <c r="G17" s="178" t="s">
        <v>871</v>
      </c>
      <c r="H17" s="178" t="s">
        <v>86</v>
      </c>
      <c r="I17" s="178" t="s">
        <v>240</v>
      </c>
      <c r="J17" s="51">
        <v>50</v>
      </c>
      <c r="K17" s="51">
        <v>15</v>
      </c>
      <c r="L17" s="51" t="str">
        <f>IF('B11'!$C$6=B17,"V","-")</f>
        <v>-</v>
      </c>
    </row>
    <row r="18" spans="1:12" ht="22.2">
      <c r="A18" s="51">
        <v>15</v>
      </c>
      <c r="B18" s="148" t="s">
        <v>0</v>
      </c>
      <c r="C18" s="51">
        <v>2</v>
      </c>
      <c r="D18" s="178" t="s">
        <v>74</v>
      </c>
      <c r="E18" s="178" t="s">
        <v>73</v>
      </c>
      <c r="F18" s="57" t="s">
        <v>274</v>
      </c>
      <c r="G18" s="55" t="s">
        <v>276</v>
      </c>
      <c r="H18" s="57" t="s">
        <v>277</v>
      </c>
      <c r="I18" s="57" t="s">
        <v>485</v>
      </c>
      <c r="J18" s="51">
        <v>50.6</v>
      </c>
      <c r="K18" s="51">
        <v>15</v>
      </c>
      <c r="L18" s="51" t="str">
        <f>IF('B11'!$C$6=B18,"V","-")</f>
        <v>-</v>
      </c>
    </row>
    <row r="19" spans="1:12" ht="22.2">
      <c r="A19" s="51">
        <v>16</v>
      </c>
      <c r="B19" s="148" t="s">
        <v>149</v>
      </c>
      <c r="C19" s="51">
        <v>3</v>
      </c>
      <c r="D19" s="178" t="s">
        <v>74</v>
      </c>
      <c r="E19" s="178" t="s">
        <v>78</v>
      </c>
      <c r="F19" s="178" t="s">
        <v>75</v>
      </c>
      <c r="G19" s="178" t="s">
        <v>868</v>
      </c>
      <c r="H19" s="178" t="s">
        <v>86</v>
      </c>
      <c r="I19" s="178" t="s">
        <v>240</v>
      </c>
      <c r="J19" s="51">
        <v>64.900000000000006</v>
      </c>
      <c r="K19" s="51">
        <v>17</v>
      </c>
      <c r="L19" s="51" t="str">
        <f>IF('B11'!$C$6=B19,"V","-")</f>
        <v>-</v>
      </c>
    </row>
    <row r="20" spans="1:12" ht="22.2">
      <c r="A20" s="51">
        <v>17</v>
      </c>
      <c r="B20" s="148" t="s">
        <v>150</v>
      </c>
      <c r="C20" s="51">
        <v>4</v>
      </c>
      <c r="D20" s="178" t="s">
        <v>74</v>
      </c>
      <c r="E20" s="178" t="s">
        <v>73</v>
      </c>
      <c r="F20" s="178" t="s">
        <v>869</v>
      </c>
      <c r="G20" s="178" t="s">
        <v>78</v>
      </c>
      <c r="H20" s="178" t="s">
        <v>86</v>
      </c>
      <c r="I20" s="178" t="s">
        <v>240</v>
      </c>
      <c r="J20" s="51">
        <v>57.2</v>
      </c>
      <c r="K20" s="51">
        <v>17</v>
      </c>
      <c r="L20" s="51" t="str">
        <f>IF('B11'!$C$6=B20,"V","-")</f>
        <v>-</v>
      </c>
    </row>
    <row r="21" spans="1:12" ht="22.2">
      <c r="A21" s="51">
        <v>18</v>
      </c>
      <c r="B21" s="148" t="s">
        <v>164</v>
      </c>
      <c r="C21" s="51">
        <v>7</v>
      </c>
      <c r="D21" s="178" t="s">
        <v>74</v>
      </c>
      <c r="E21" s="178" t="s">
        <v>872</v>
      </c>
      <c r="F21" s="55" t="s">
        <v>873</v>
      </c>
      <c r="G21" s="55" t="s">
        <v>874</v>
      </c>
      <c r="H21" s="57" t="s">
        <v>871</v>
      </c>
      <c r="I21" s="57" t="s">
        <v>871</v>
      </c>
      <c r="J21" s="51">
        <v>54.8</v>
      </c>
      <c r="K21" s="51">
        <v>16</v>
      </c>
      <c r="L21" s="51" t="str">
        <f>IF('B11'!$C$6=B21,"V","-")</f>
        <v>-</v>
      </c>
    </row>
    <row r="22" spans="1:12" ht="22.2">
      <c r="A22" s="51">
        <v>19</v>
      </c>
      <c r="B22" s="148" t="s">
        <v>165</v>
      </c>
      <c r="C22" s="51">
        <v>7</v>
      </c>
      <c r="D22" s="178" t="s">
        <v>74</v>
      </c>
      <c r="E22" s="178" t="s">
        <v>872</v>
      </c>
      <c r="F22" s="178" t="s">
        <v>873</v>
      </c>
      <c r="G22" s="178" t="s">
        <v>874</v>
      </c>
      <c r="H22" s="178" t="s">
        <v>871</v>
      </c>
      <c r="I22" s="178" t="s">
        <v>871</v>
      </c>
      <c r="J22" s="51">
        <v>61.7</v>
      </c>
      <c r="K22" s="51">
        <v>17</v>
      </c>
      <c r="L22" s="51" t="str">
        <f>IF('B11'!$C$6=B22,"V","-")</f>
        <v>-</v>
      </c>
    </row>
    <row r="23" spans="1:12" ht="22.2">
      <c r="A23" s="51">
        <v>20</v>
      </c>
      <c r="B23" s="148" t="s">
        <v>166</v>
      </c>
      <c r="C23" s="51">
        <v>7</v>
      </c>
      <c r="D23" s="178" t="s">
        <v>74</v>
      </c>
      <c r="E23" s="178" t="s">
        <v>872</v>
      </c>
      <c r="F23" s="178" t="s">
        <v>873</v>
      </c>
      <c r="G23" s="178" t="s">
        <v>874</v>
      </c>
      <c r="H23" s="178" t="s">
        <v>871</v>
      </c>
      <c r="I23" s="178" t="s">
        <v>871</v>
      </c>
      <c r="J23" s="51">
        <v>48.9</v>
      </c>
      <c r="K23" s="51">
        <v>15</v>
      </c>
      <c r="L23" s="51" t="str">
        <f>IF('B11'!$C$6=B23,"V","-")</f>
        <v>-</v>
      </c>
    </row>
  </sheetData>
  <mergeCells count="3">
    <mergeCell ref="D3:F3"/>
    <mergeCell ref="H3:I3"/>
    <mergeCell ref="A1:B1"/>
  </mergeCells>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election sqref="A1:B1"/>
    </sheetView>
  </sheetViews>
  <sheetFormatPr defaultRowHeight="16.2"/>
  <cols>
    <col min="1" max="1" width="14.44140625" customWidth="1"/>
    <col min="2" max="2" width="17.44140625" bestFit="1" customWidth="1"/>
    <col min="3" max="3" width="36.88671875" bestFit="1" customWidth="1"/>
    <col min="4" max="4" width="26.33203125" customWidth="1"/>
    <col min="5" max="5" width="18.21875" bestFit="1" customWidth="1"/>
    <col min="6" max="6" width="20.21875" bestFit="1" customWidth="1"/>
    <col min="7" max="7" width="6.77734375" bestFit="1" customWidth="1"/>
    <col min="8" max="8" width="19.21875" customWidth="1"/>
    <col min="9" max="9" width="16.88671875" bestFit="1" customWidth="1"/>
  </cols>
  <sheetData>
    <row r="1" spans="1:4" ht="22.2">
      <c r="A1" s="321" t="s">
        <v>1011</v>
      </c>
      <c r="B1" s="321"/>
      <c r="C1" s="184"/>
      <c r="D1" s="182"/>
    </row>
    <row r="2" spans="1:4" ht="17.25" customHeight="1">
      <c r="A2" s="182"/>
      <c r="B2" s="182"/>
      <c r="C2" s="182"/>
      <c r="D2" s="182"/>
    </row>
    <row r="3" spans="1:4" ht="17.25" customHeight="1">
      <c r="A3" s="183" t="s">
        <v>886</v>
      </c>
      <c r="B3" s="323" t="s">
        <v>875</v>
      </c>
      <c r="C3" s="324"/>
      <c r="D3" s="325"/>
    </row>
    <row r="4" spans="1:4" ht="63.75" customHeight="1">
      <c r="A4" s="188">
        <v>1</v>
      </c>
      <c r="B4" s="353" t="s">
        <v>887</v>
      </c>
      <c r="C4" s="354"/>
      <c r="D4" s="355"/>
    </row>
    <row r="5" spans="1:4" ht="45" customHeight="1">
      <c r="A5" s="188">
        <v>2</v>
      </c>
      <c r="B5" s="322" t="s">
        <v>888</v>
      </c>
      <c r="C5" s="322"/>
      <c r="D5" s="322"/>
    </row>
    <row r="6" spans="1:4" ht="44.25" customHeight="1">
      <c r="A6" s="188">
        <v>3</v>
      </c>
      <c r="B6" s="322" t="s">
        <v>889</v>
      </c>
      <c r="C6" s="322"/>
      <c r="D6" s="322"/>
    </row>
    <row r="7" spans="1:4" ht="59.25" customHeight="1">
      <c r="A7" s="188">
        <v>4</v>
      </c>
      <c r="B7" s="322" t="s">
        <v>890</v>
      </c>
      <c r="C7" s="322"/>
      <c r="D7" s="322"/>
    </row>
    <row r="8" spans="1:4" ht="59.25" customHeight="1">
      <c r="A8" s="188">
        <v>5</v>
      </c>
      <c r="B8" s="322" t="s">
        <v>891</v>
      </c>
      <c r="C8" s="322"/>
      <c r="D8" s="322"/>
    </row>
    <row r="9" spans="1:4" ht="99" customHeight="1">
      <c r="A9" s="188">
        <v>6</v>
      </c>
      <c r="B9" s="322" t="s">
        <v>892</v>
      </c>
      <c r="C9" s="322"/>
      <c r="D9" s="322"/>
    </row>
    <row r="10" spans="1:4" ht="17.25" customHeight="1">
      <c r="A10" s="182"/>
      <c r="B10" s="185"/>
      <c r="C10" s="182"/>
      <c r="D10" s="182"/>
    </row>
    <row r="11" spans="1:4" ht="19.8">
      <c r="B11" s="194"/>
      <c r="C11" s="194" t="s">
        <v>883</v>
      </c>
      <c r="D11" s="194" t="s">
        <v>882</v>
      </c>
    </row>
    <row r="12" spans="1:4" ht="19.5" customHeight="1">
      <c r="B12" s="347" t="s">
        <v>884</v>
      </c>
      <c r="C12" s="191" t="s">
        <v>877</v>
      </c>
      <c r="D12" s="191">
        <v>0.35</v>
      </c>
    </row>
    <row r="13" spans="1:4" ht="18.75" customHeight="1">
      <c r="B13" s="348"/>
      <c r="C13" s="192" t="s">
        <v>878</v>
      </c>
      <c r="D13" s="192">
        <v>0.52</v>
      </c>
    </row>
    <row r="14" spans="1:4" ht="18.75" customHeight="1">
      <c r="B14" s="349"/>
      <c r="C14" s="193" t="s">
        <v>879</v>
      </c>
      <c r="D14" s="193">
        <v>1.1200000000000001</v>
      </c>
    </row>
    <row r="15" spans="1:4" ht="18">
      <c r="B15" s="350" t="s">
        <v>885</v>
      </c>
      <c r="C15" s="191" t="s">
        <v>877</v>
      </c>
      <c r="D15" s="191">
        <v>0.13</v>
      </c>
    </row>
    <row r="16" spans="1:4" ht="18">
      <c r="B16" s="351"/>
      <c r="C16" s="192" t="s">
        <v>878</v>
      </c>
      <c r="D16" s="192">
        <v>0.1</v>
      </c>
    </row>
    <row r="17" spans="1:4" ht="18.75" customHeight="1">
      <c r="B17" s="351"/>
      <c r="C17" s="192" t="s">
        <v>880</v>
      </c>
      <c r="D17" s="192">
        <v>0.08</v>
      </c>
    </row>
    <row r="18" spans="1:4" ht="18">
      <c r="B18" s="351"/>
      <c r="C18" s="192" t="s">
        <v>879</v>
      </c>
      <c r="D18" s="192">
        <v>7.0000000000000007E-2</v>
      </c>
    </row>
    <row r="19" spans="1:4" ht="18">
      <c r="B19" s="352"/>
      <c r="C19" s="193" t="s">
        <v>881</v>
      </c>
      <c r="D19" s="193">
        <v>7.0000000000000007E-2</v>
      </c>
    </row>
    <row r="21" spans="1:4" ht="19.8">
      <c r="A21" s="183" t="s">
        <v>886</v>
      </c>
      <c r="B21" s="323" t="s">
        <v>893</v>
      </c>
      <c r="C21" s="324"/>
      <c r="D21" s="325"/>
    </row>
    <row r="22" spans="1:4" ht="78.75" customHeight="1">
      <c r="A22" s="188">
        <v>1</v>
      </c>
      <c r="B22" s="343" t="s">
        <v>1139</v>
      </c>
      <c r="C22" s="344"/>
      <c r="D22" s="345"/>
    </row>
    <row r="23" spans="1:4" ht="60.75" customHeight="1">
      <c r="A23" s="188">
        <v>2</v>
      </c>
      <c r="B23" s="346" t="s">
        <v>1140</v>
      </c>
      <c r="C23" s="346"/>
      <c r="D23" s="346"/>
    </row>
    <row r="24" spans="1:4" ht="63.75" customHeight="1">
      <c r="A24" s="188">
        <v>3</v>
      </c>
      <c r="B24" s="346" t="s">
        <v>1141</v>
      </c>
      <c r="C24" s="346"/>
      <c r="D24" s="346"/>
    </row>
    <row r="25" spans="1:4" ht="77.25" customHeight="1">
      <c r="A25" s="188">
        <v>4</v>
      </c>
      <c r="B25" s="346" t="s">
        <v>1142</v>
      </c>
      <c r="C25" s="346"/>
      <c r="D25" s="346"/>
    </row>
    <row r="26" spans="1:4" ht="57" customHeight="1">
      <c r="A26" s="188">
        <v>5</v>
      </c>
      <c r="B26" s="346" t="s">
        <v>1143</v>
      </c>
      <c r="C26" s="346"/>
      <c r="D26" s="346"/>
    </row>
    <row r="27" spans="1:4" ht="83.25" customHeight="1">
      <c r="A27" s="188">
        <v>6</v>
      </c>
      <c r="B27" s="346" t="s">
        <v>1144</v>
      </c>
      <c r="C27" s="346"/>
      <c r="D27" s="346"/>
    </row>
  </sheetData>
  <mergeCells count="17">
    <mergeCell ref="A1:B1"/>
    <mergeCell ref="B3:D3"/>
    <mergeCell ref="B12:B14"/>
    <mergeCell ref="B15:B19"/>
    <mergeCell ref="B21:D21"/>
    <mergeCell ref="B4:D4"/>
    <mergeCell ref="B5:D5"/>
    <mergeCell ref="B6:D6"/>
    <mergeCell ref="B7:D7"/>
    <mergeCell ref="B8:D8"/>
    <mergeCell ref="B9:D9"/>
    <mergeCell ref="B22:D22"/>
    <mergeCell ref="B24:D24"/>
    <mergeCell ref="B25:D25"/>
    <mergeCell ref="B26:D26"/>
    <mergeCell ref="B27:D27"/>
    <mergeCell ref="B23:D23"/>
  </mergeCells>
  <phoneticPr fontId="1" type="noConversion"/>
  <pageMargins left="0.7" right="0.7" top="0.75" bottom="0.75" header="0.3" footer="0.3"/>
  <pageSetup paperSize="9"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92"/>
  <sheetViews>
    <sheetView workbookViewId="0">
      <selection activeCell="E69" sqref="E69"/>
    </sheetView>
  </sheetViews>
  <sheetFormatPr defaultRowHeight="16.2"/>
  <cols>
    <col min="1" max="1" width="14.44140625" customWidth="1"/>
    <col min="2" max="2" width="17.44140625" bestFit="1" customWidth="1"/>
    <col min="3" max="3" width="36.88671875" bestFit="1" customWidth="1"/>
    <col min="4" max="5" width="18.21875" bestFit="1" customWidth="1"/>
    <col min="6" max="6" width="20.21875" bestFit="1" customWidth="1"/>
    <col min="7" max="7" width="6.77734375" bestFit="1" customWidth="1"/>
    <col min="8" max="8" width="19.21875" customWidth="1"/>
    <col min="9" max="9" width="16.88671875" bestFit="1" customWidth="1"/>
  </cols>
  <sheetData>
    <row r="1" spans="1:7" ht="22.2">
      <c r="A1" s="321" t="s">
        <v>1010</v>
      </c>
      <c r="B1" s="321"/>
      <c r="C1" s="147"/>
      <c r="D1" s="146"/>
    </row>
    <row r="2" spans="1:7" ht="17.25" customHeight="1">
      <c r="A2" s="146"/>
      <c r="B2" s="146"/>
      <c r="C2" s="146"/>
      <c r="D2" s="234" t="s">
        <v>303</v>
      </c>
      <c r="E2" s="234" t="s">
        <v>729</v>
      </c>
    </row>
    <row r="3" spans="1:7" ht="17.25" customHeight="1">
      <c r="A3" s="196"/>
      <c r="B3" s="196"/>
      <c r="C3" s="196"/>
      <c r="D3" s="91" t="str">
        <f>'B11'!C6</f>
        <v>嘉義縣</v>
      </c>
      <c r="E3" s="91" t="str">
        <f>'B11'!C10</f>
        <v>平原</v>
      </c>
    </row>
    <row r="4" spans="1:7" s="32" customFormat="1" ht="17.25" customHeight="1">
      <c r="A4" s="144" t="s">
        <v>717</v>
      </c>
      <c r="B4" s="144" t="s">
        <v>716</v>
      </c>
      <c r="C4" s="144" t="s">
        <v>710</v>
      </c>
      <c r="D4" s="241" t="s">
        <v>707</v>
      </c>
      <c r="E4" s="241" t="s">
        <v>706</v>
      </c>
      <c r="F4" s="241" t="s">
        <v>1135</v>
      </c>
    </row>
    <row r="5" spans="1:7" s="32" customFormat="1" ht="17.25" customHeight="1">
      <c r="A5" s="45" t="s">
        <v>704</v>
      </c>
      <c r="B5" s="39" t="s">
        <v>711</v>
      </c>
      <c r="C5" s="144" t="s">
        <v>724</v>
      </c>
      <c r="D5" s="252" t="str">
        <f>IF($C$63=1,"V","-")</f>
        <v>-</v>
      </c>
      <c r="E5" s="252" t="str">
        <f>IF($F$63=1,"V","-")</f>
        <v>-</v>
      </c>
      <c r="F5" s="252" t="str">
        <f>IF($C$92=1,"V","-")</f>
        <v>-</v>
      </c>
    </row>
    <row r="6" spans="1:7" s="32" customFormat="1" ht="19.8">
      <c r="A6" s="45" t="s">
        <v>705</v>
      </c>
      <c r="B6" s="39" t="s">
        <v>712</v>
      </c>
      <c r="C6" s="144" t="s">
        <v>723</v>
      </c>
      <c r="D6" s="252" t="str">
        <f>IF($C$63=2,"V","-")</f>
        <v>-</v>
      </c>
      <c r="E6" s="252" t="str">
        <f>IF($F$63=2,"V","-")</f>
        <v>-</v>
      </c>
      <c r="F6" s="252" t="str">
        <f>IF($C$92=2,"V","-")</f>
        <v>-</v>
      </c>
    </row>
    <row r="7" spans="1:7" s="32" customFormat="1" ht="39.6">
      <c r="A7" s="45" t="s">
        <v>663</v>
      </c>
      <c r="B7" s="39" t="s">
        <v>713</v>
      </c>
      <c r="C7" s="77" t="s">
        <v>720</v>
      </c>
      <c r="D7" s="252" t="str">
        <f>IF($C$63=3,"V","-")</f>
        <v>V</v>
      </c>
      <c r="E7" s="252" t="str">
        <f>IF($F$63=3,"V","-")</f>
        <v>-</v>
      </c>
      <c r="F7" s="252" t="str">
        <f>IF($C$92=3,"V","-")</f>
        <v>-</v>
      </c>
    </row>
    <row r="8" spans="1:7" s="32" customFormat="1" ht="79.2">
      <c r="A8" s="45" t="s">
        <v>664</v>
      </c>
      <c r="B8" s="39" t="s">
        <v>714</v>
      </c>
      <c r="C8" s="77" t="s">
        <v>721</v>
      </c>
      <c r="D8" s="252" t="str">
        <f>IF($C$63=4,"V","-")</f>
        <v>-</v>
      </c>
      <c r="E8" s="252" t="str">
        <f>IF($F$63=4,"V","-")</f>
        <v>V</v>
      </c>
      <c r="F8" s="252" t="str">
        <f>IF($C$92=4,"V","-")</f>
        <v>V</v>
      </c>
    </row>
    <row r="9" spans="1:7" s="32" customFormat="1" ht="17.25" customHeight="1">
      <c r="A9" s="45" t="s">
        <v>665</v>
      </c>
      <c r="B9" s="39" t="s">
        <v>715</v>
      </c>
      <c r="C9" s="144" t="s">
        <v>719</v>
      </c>
      <c r="D9" s="252" t="str">
        <f>IF($C$63=5,"V","-")</f>
        <v>-</v>
      </c>
      <c r="E9" s="252" t="str">
        <f>IF($F$63=5,"V","-")</f>
        <v>-</v>
      </c>
      <c r="F9" s="252" t="str">
        <f>IF($C$92=5,"V","-")</f>
        <v>-</v>
      </c>
    </row>
    <row r="10" spans="1:7" s="32" customFormat="1" ht="50.25" customHeight="1">
      <c r="A10" s="322" t="s">
        <v>718</v>
      </c>
      <c r="B10" s="322"/>
      <c r="C10" s="322"/>
    </row>
    <row r="11" spans="1:7" ht="17.25" customHeight="1">
      <c r="A11" s="146"/>
      <c r="B11" s="146"/>
      <c r="C11" s="146"/>
      <c r="D11" s="146"/>
      <c r="G11" s="150"/>
    </row>
    <row r="12" spans="1:7" ht="17.25" customHeight="1">
      <c r="A12" s="146"/>
      <c r="B12" s="146"/>
      <c r="C12" s="146"/>
      <c r="D12" s="146"/>
      <c r="G12" s="150"/>
    </row>
    <row r="13" spans="1:7" ht="22.2">
      <c r="B13" s="146"/>
      <c r="C13" s="28" t="s">
        <v>708</v>
      </c>
      <c r="D13" s="146"/>
      <c r="G13" s="151"/>
    </row>
    <row r="14" spans="1:7" ht="19.8">
      <c r="A14" s="357" t="s">
        <v>717</v>
      </c>
      <c r="B14" s="340" t="s">
        <v>703</v>
      </c>
      <c r="C14" s="356"/>
      <c r="D14" s="356"/>
      <c r="E14" s="356"/>
      <c r="F14" s="356"/>
      <c r="G14" s="151"/>
    </row>
    <row r="15" spans="1:7" ht="19.8">
      <c r="A15" s="358"/>
      <c r="B15" s="74" t="s">
        <v>698</v>
      </c>
      <c r="C15" s="74" t="s">
        <v>699</v>
      </c>
      <c r="D15" s="74" t="s">
        <v>700</v>
      </c>
      <c r="E15" s="74" t="s">
        <v>701</v>
      </c>
      <c r="F15" s="74" t="s">
        <v>702</v>
      </c>
      <c r="G15" s="150"/>
    </row>
    <row r="16" spans="1:7" ht="20.399999999999999">
      <c r="A16" s="356" t="s">
        <v>658</v>
      </c>
      <c r="B16" s="74" t="s">
        <v>709</v>
      </c>
      <c r="C16" s="74" t="s">
        <v>666</v>
      </c>
      <c r="D16" s="74" t="s">
        <v>667</v>
      </c>
      <c r="E16" s="74" t="s">
        <v>668</v>
      </c>
      <c r="F16" s="149" t="s">
        <v>660</v>
      </c>
      <c r="G16" s="151"/>
    </row>
    <row r="17" spans="1:7" ht="19.8">
      <c r="A17" s="356"/>
      <c r="B17" s="74" t="s">
        <v>659</v>
      </c>
      <c r="C17" s="74" t="s">
        <v>669</v>
      </c>
      <c r="D17" s="74" t="s">
        <v>670</v>
      </c>
      <c r="E17" s="74" t="s">
        <v>670</v>
      </c>
      <c r="F17" s="149" t="s">
        <v>661</v>
      </c>
      <c r="G17" s="150"/>
    </row>
    <row r="18" spans="1:7" ht="20.399999999999999">
      <c r="A18" s="356" t="s">
        <v>662</v>
      </c>
      <c r="B18" s="74" t="s">
        <v>709</v>
      </c>
      <c r="C18" s="74" t="s">
        <v>671</v>
      </c>
      <c r="D18" s="74" t="s">
        <v>672</v>
      </c>
      <c r="E18" s="74" t="s">
        <v>673</v>
      </c>
      <c r="F18" s="74" t="s">
        <v>674</v>
      </c>
      <c r="G18" s="151"/>
    </row>
    <row r="19" spans="1:7" ht="19.8">
      <c r="A19" s="356"/>
      <c r="B19" s="74" t="s">
        <v>659</v>
      </c>
      <c r="C19" s="74" t="s">
        <v>675</v>
      </c>
      <c r="D19" s="74" t="s">
        <v>676</v>
      </c>
      <c r="E19" s="74" t="s">
        <v>677</v>
      </c>
      <c r="F19" s="149" t="s">
        <v>661</v>
      </c>
      <c r="G19" s="150"/>
    </row>
    <row r="20" spans="1:7" ht="20.399999999999999">
      <c r="A20" s="356" t="s">
        <v>663</v>
      </c>
      <c r="B20" s="74" t="s">
        <v>709</v>
      </c>
      <c r="C20" s="74" t="s">
        <v>678</v>
      </c>
      <c r="D20" s="74" t="s">
        <v>679</v>
      </c>
      <c r="E20" s="74" t="s">
        <v>680</v>
      </c>
      <c r="F20" s="74" t="s">
        <v>681</v>
      </c>
      <c r="G20" s="151"/>
    </row>
    <row r="21" spans="1:7" ht="19.8">
      <c r="A21" s="356"/>
      <c r="B21" s="74" t="s">
        <v>659</v>
      </c>
      <c r="C21" s="74" t="s">
        <v>682</v>
      </c>
      <c r="D21" s="74" t="s">
        <v>683</v>
      </c>
      <c r="E21" s="74" t="s">
        <v>684</v>
      </c>
      <c r="F21" s="149" t="s">
        <v>661</v>
      </c>
      <c r="G21" s="150"/>
    </row>
    <row r="22" spans="1:7" ht="20.399999999999999">
      <c r="A22" s="356" t="s">
        <v>664</v>
      </c>
      <c r="B22" s="74" t="s">
        <v>709</v>
      </c>
      <c r="C22" s="74" t="s">
        <v>685</v>
      </c>
      <c r="D22" s="74" t="s">
        <v>686</v>
      </c>
      <c r="E22" s="74" t="s">
        <v>687</v>
      </c>
      <c r="F22" s="74" t="s">
        <v>688</v>
      </c>
      <c r="G22" s="151"/>
    </row>
    <row r="23" spans="1:7" ht="19.8">
      <c r="A23" s="356"/>
      <c r="B23" s="74" t="s">
        <v>659</v>
      </c>
      <c r="C23" s="74" t="s">
        <v>689</v>
      </c>
      <c r="D23" s="74" t="s">
        <v>690</v>
      </c>
      <c r="E23" s="74" t="s">
        <v>691</v>
      </c>
      <c r="F23" s="149" t="s">
        <v>661</v>
      </c>
    </row>
    <row r="24" spans="1:7" ht="20.399999999999999">
      <c r="A24" s="356" t="s">
        <v>665</v>
      </c>
      <c r="B24" s="74" t="s">
        <v>709</v>
      </c>
      <c r="C24" s="74" t="s">
        <v>692</v>
      </c>
      <c r="D24" s="74" t="s">
        <v>693</v>
      </c>
      <c r="E24" s="74" t="s">
        <v>682</v>
      </c>
      <c r="F24" s="74" t="s">
        <v>694</v>
      </c>
    </row>
    <row r="25" spans="1:7" ht="19.8">
      <c r="A25" s="356"/>
      <c r="B25" s="74" t="s">
        <v>659</v>
      </c>
      <c r="C25" s="74" t="s">
        <v>695</v>
      </c>
      <c r="D25" s="74" t="s">
        <v>696</v>
      </c>
      <c r="E25" s="74" t="s">
        <v>697</v>
      </c>
      <c r="F25" s="149" t="s">
        <v>661</v>
      </c>
    </row>
    <row r="26" spans="1:7" ht="22.2">
      <c r="A26" s="146"/>
      <c r="B26" s="146"/>
      <c r="C26" s="146"/>
      <c r="D26" s="146"/>
    </row>
    <row r="27" spans="1:7" ht="22.2">
      <c r="A27" s="28" t="s">
        <v>722</v>
      </c>
      <c r="B27" s="196"/>
      <c r="C27" s="196"/>
      <c r="D27" s="196"/>
    </row>
    <row r="62" spans="1:6" ht="22.2">
      <c r="A62" s="196"/>
      <c r="B62" s="196"/>
      <c r="C62" s="196"/>
      <c r="D62" s="196"/>
    </row>
    <row r="63" spans="1:6" ht="19.8">
      <c r="A63" s="234" t="s">
        <v>303</v>
      </c>
      <c r="B63" s="91" t="str">
        <f>'B11'!C6</f>
        <v>嘉義縣</v>
      </c>
      <c r="C63" s="15">
        <f>MAX(C65:C84)</f>
        <v>3</v>
      </c>
      <c r="D63" s="234" t="s">
        <v>729</v>
      </c>
      <c r="E63" s="91" t="str">
        <f>'B11'!C10</f>
        <v>平原</v>
      </c>
      <c r="F63" s="15">
        <f>MAX(F65:F67)</f>
        <v>4</v>
      </c>
    </row>
    <row r="64" spans="1:6" ht="19.8">
      <c r="A64" s="234" t="s">
        <v>259</v>
      </c>
      <c r="B64" s="234" t="s">
        <v>717</v>
      </c>
      <c r="C64" s="234" t="s">
        <v>728</v>
      </c>
      <c r="D64" s="234" t="s">
        <v>733</v>
      </c>
      <c r="E64" s="234" t="s">
        <v>734</v>
      </c>
      <c r="F64" s="234" t="s">
        <v>735</v>
      </c>
    </row>
    <row r="65" spans="1:6" ht="22.2">
      <c r="A65" s="239" t="s">
        <v>153</v>
      </c>
      <c r="B65" s="242">
        <v>4</v>
      </c>
      <c r="C65" s="15" t="str">
        <f>IF($B$63=A65,B65,"-")</f>
        <v>-</v>
      </c>
      <c r="D65" s="239" t="s">
        <v>726</v>
      </c>
      <c r="E65" s="242">
        <v>5</v>
      </c>
      <c r="F65" s="15" t="str">
        <f>IF($E$63=D65,E65,"-")</f>
        <v>-</v>
      </c>
    </row>
    <row r="66" spans="1:6" ht="22.2">
      <c r="A66" s="239" t="s">
        <v>152</v>
      </c>
      <c r="B66" s="242">
        <v>4</v>
      </c>
      <c r="C66" s="15" t="str">
        <f t="shared" ref="C66:C84" si="0">IF($B$63=A66,B66,"-")</f>
        <v>-</v>
      </c>
      <c r="D66" s="239" t="s">
        <v>730</v>
      </c>
      <c r="E66" s="242">
        <v>1</v>
      </c>
      <c r="F66" s="15">
        <f>IF($E$63=D66,$C$63+E66,"-")</f>
        <v>4</v>
      </c>
    </row>
    <row r="67" spans="1:6" ht="22.2">
      <c r="A67" s="239" t="s">
        <v>154</v>
      </c>
      <c r="B67" s="242">
        <v>4</v>
      </c>
      <c r="C67" s="15" t="str">
        <f t="shared" si="0"/>
        <v>-</v>
      </c>
      <c r="D67" s="239" t="s">
        <v>731</v>
      </c>
      <c r="E67" s="242">
        <v>0</v>
      </c>
      <c r="F67" s="15" t="str">
        <f>IF($E$63=D67,$C$63+E67,"-")</f>
        <v>-</v>
      </c>
    </row>
    <row r="68" spans="1:6" ht="22.2">
      <c r="A68" s="239" t="s">
        <v>155</v>
      </c>
      <c r="B68" s="242">
        <v>4</v>
      </c>
      <c r="C68" s="15" t="str">
        <f t="shared" si="0"/>
        <v>-</v>
      </c>
    </row>
    <row r="69" spans="1:6" ht="22.2">
      <c r="A69" s="239" t="s">
        <v>156</v>
      </c>
      <c r="B69" s="242">
        <v>4</v>
      </c>
      <c r="C69" s="15" t="str">
        <f t="shared" si="0"/>
        <v>-</v>
      </c>
    </row>
    <row r="70" spans="1:6" ht="22.2">
      <c r="A70" s="239" t="s">
        <v>157</v>
      </c>
      <c r="B70" s="242">
        <v>3</v>
      </c>
      <c r="C70" s="15" t="str">
        <f t="shared" si="0"/>
        <v>-</v>
      </c>
    </row>
    <row r="71" spans="1:6" ht="22.2">
      <c r="A71" s="239" t="s">
        <v>158</v>
      </c>
      <c r="B71" s="242">
        <v>3</v>
      </c>
      <c r="C71" s="15" t="str">
        <f t="shared" si="0"/>
        <v>-</v>
      </c>
    </row>
    <row r="72" spans="1:6" ht="22.2">
      <c r="A72" s="239" t="s">
        <v>159</v>
      </c>
      <c r="B72" s="242">
        <v>3</v>
      </c>
      <c r="C72" s="15" t="str">
        <f t="shared" si="0"/>
        <v>-</v>
      </c>
    </row>
    <row r="73" spans="1:6" ht="22.2">
      <c r="A73" s="239" t="s">
        <v>160</v>
      </c>
      <c r="B73" s="242">
        <v>3</v>
      </c>
      <c r="C73" s="15">
        <f t="shared" si="0"/>
        <v>3</v>
      </c>
    </row>
    <row r="74" spans="1:6" ht="22.2">
      <c r="A74" s="239" t="s">
        <v>161</v>
      </c>
      <c r="B74" s="242">
        <v>3</v>
      </c>
      <c r="C74" s="15" t="str">
        <f t="shared" si="0"/>
        <v>-</v>
      </c>
    </row>
    <row r="75" spans="1:6" ht="22.2">
      <c r="A75" s="239" t="s">
        <v>162</v>
      </c>
      <c r="B75" s="242">
        <v>4</v>
      </c>
      <c r="C75" s="15" t="str">
        <f t="shared" si="0"/>
        <v>-</v>
      </c>
    </row>
    <row r="76" spans="1:6" ht="22.2">
      <c r="A76" s="239" t="s">
        <v>163</v>
      </c>
      <c r="B76" s="242">
        <v>4</v>
      </c>
      <c r="C76" s="15" t="str">
        <f t="shared" si="0"/>
        <v>-</v>
      </c>
    </row>
    <row r="77" spans="1:6" ht="22.2">
      <c r="A77" s="239" t="s">
        <v>725</v>
      </c>
      <c r="B77" s="242">
        <v>2</v>
      </c>
      <c r="C77" s="15" t="str">
        <f t="shared" si="0"/>
        <v>-</v>
      </c>
    </row>
    <row r="78" spans="1:6" ht="22.2">
      <c r="A78" s="239" t="s">
        <v>151</v>
      </c>
      <c r="B78" s="242">
        <v>4</v>
      </c>
      <c r="C78" s="15" t="str">
        <f t="shared" si="0"/>
        <v>-</v>
      </c>
    </row>
    <row r="79" spans="1:6" ht="22.2">
      <c r="A79" s="239" t="s">
        <v>0</v>
      </c>
      <c r="B79" s="242">
        <v>4</v>
      </c>
      <c r="C79" s="15" t="str">
        <f t="shared" si="0"/>
        <v>-</v>
      </c>
    </row>
    <row r="80" spans="1:6" ht="22.2">
      <c r="A80" s="239" t="s">
        <v>149</v>
      </c>
      <c r="B80" s="242">
        <v>4</v>
      </c>
      <c r="C80" s="15" t="str">
        <f t="shared" si="0"/>
        <v>-</v>
      </c>
    </row>
    <row r="81" spans="1:3" ht="22.2">
      <c r="A81" s="239" t="s">
        <v>150</v>
      </c>
      <c r="B81" s="242">
        <v>4</v>
      </c>
      <c r="C81" s="15" t="str">
        <f t="shared" si="0"/>
        <v>-</v>
      </c>
    </row>
    <row r="82" spans="1:3" ht="22.2">
      <c r="A82" s="239" t="s">
        <v>164</v>
      </c>
      <c r="B82" s="242">
        <v>4</v>
      </c>
      <c r="C82" s="15" t="str">
        <f t="shared" si="0"/>
        <v>-</v>
      </c>
    </row>
    <row r="83" spans="1:3" ht="22.2">
      <c r="A83" s="239" t="s">
        <v>165</v>
      </c>
      <c r="B83" s="242">
        <v>4</v>
      </c>
      <c r="C83" s="15" t="str">
        <f t="shared" si="0"/>
        <v>-</v>
      </c>
    </row>
    <row r="84" spans="1:3" ht="22.2">
      <c r="A84" s="239" t="s">
        <v>166</v>
      </c>
      <c r="B84" s="242">
        <v>4</v>
      </c>
      <c r="C84" s="15" t="str">
        <f t="shared" si="0"/>
        <v>-</v>
      </c>
    </row>
    <row r="86" spans="1:3" ht="19.8">
      <c r="A86" s="160" t="s">
        <v>707</v>
      </c>
      <c r="B86" s="160" t="s">
        <v>706</v>
      </c>
      <c r="C86" s="160" t="s">
        <v>1146</v>
      </c>
    </row>
    <row r="87" spans="1:3" ht="18">
      <c r="A87" s="251">
        <f>IF($C$63=1,1,0)</f>
        <v>0</v>
      </c>
      <c r="B87" s="251">
        <f>IF($F$63=1,1,0)</f>
        <v>0</v>
      </c>
      <c r="C87" s="251">
        <f>IF($C$92=1,"C1",0)</f>
        <v>0</v>
      </c>
    </row>
    <row r="88" spans="1:3" ht="18">
      <c r="A88" s="251">
        <f>IF($C$63=2,2,0)</f>
        <v>0</v>
      </c>
      <c r="B88" s="251">
        <f>IF($F$63=2,2,0)</f>
        <v>0</v>
      </c>
      <c r="C88" s="251">
        <f>IF($C$92=2,"C2",0)</f>
        <v>0</v>
      </c>
    </row>
    <row r="89" spans="1:3" ht="18">
      <c r="A89" s="251">
        <f>IF($C$63=3,3,0)</f>
        <v>3</v>
      </c>
      <c r="B89" s="251">
        <f>IF($F$63=3,3,0)</f>
        <v>0</v>
      </c>
      <c r="C89" s="251">
        <f>IF($C$92=3,"C3",0)</f>
        <v>0</v>
      </c>
    </row>
    <row r="90" spans="1:3" ht="18">
      <c r="A90" s="251">
        <f>IF($C$63=4,4,0)</f>
        <v>0</v>
      </c>
      <c r="B90" s="251">
        <f>IF($F$63=4,4,0)</f>
        <v>4</v>
      </c>
      <c r="C90" s="251" t="str">
        <f>IF($C$92=4,"C4",0)</f>
        <v>C4</v>
      </c>
    </row>
    <row r="91" spans="1:3" ht="18">
      <c r="A91" s="251">
        <f>IF($C$63=5,5,0)</f>
        <v>0</v>
      </c>
      <c r="B91" s="251">
        <f>IF($F$63=5,5,0)</f>
        <v>0</v>
      </c>
      <c r="C91" s="251">
        <f>IF($C$92=5,"C5",0)</f>
        <v>0</v>
      </c>
    </row>
    <row r="92" spans="1:3" ht="18">
      <c r="A92" s="251">
        <f>MAX(A87:A91)</f>
        <v>3</v>
      </c>
      <c r="B92" s="251">
        <f>MAX(B87:B91)</f>
        <v>4</v>
      </c>
      <c r="C92" s="251">
        <f>IF(B92&gt;A92,B92,A92)</f>
        <v>4</v>
      </c>
    </row>
  </sheetData>
  <mergeCells count="9">
    <mergeCell ref="A22:A23"/>
    <mergeCell ref="B14:F14"/>
    <mergeCell ref="A24:A25"/>
    <mergeCell ref="A1:B1"/>
    <mergeCell ref="A14:A15"/>
    <mergeCell ref="A16:A17"/>
    <mergeCell ref="A18:A19"/>
    <mergeCell ref="A20:A21"/>
    <mergeCell ref="A10:C10"/>
  </mergeCells>
  <phoneticPr fontId="1" type="noConversion"/>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Word.Document.12" shapeId="35846" r:id="rId4">
          <objectPr defaultSize="0" r:id="rId5">
            <anchor moveWithCells="1">
              <from>
                <xdr:col>0</xdr:col>
                <xdr:colOff>7620</xdr:colOff>
                <xdr:row>27</xdr:row>
                <xdr:rowOff>22860</xdr:rowOff>
              </from>
              <to>
                <xdr:col>3</xdr:col>
                <xdr:colOff>830580</xdr:colOff>
                <xdr:row>60</xdr:row>
                <xdr:rowOff>182880</xdr:rowOff>
              </to>
            </anchor>
          </objectPr>
        </oleObject>
      </mc:Choice>
      <mc:Fallback>
        <oleObject progId="Word.Document.12" shapeId="35846" r:id="rId4"/>
      </mc:Fallback>
    </mc:AlternateContent>
  </oleObjec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sqref="A1:B1"/>
    </sheetView>
  </sheetViews>
  <sheetFormatPr defaultRowHeight="16.2"/>
  <cols>
    <col min="1" max="1" width="10.33203125" customWidth="1"/>
    <col min="2" max="3" width="23" bestFit="1" customWidth="1"/>
    <col min="4" max="4" width="20.21875" bestFit="1" customWidth="1"/>
    <col min="5" max="5" width="23" bestFit="1" customWidth="1"/>
  </cols>
  <sheetData>
    <row r="1" spans="1:5" ht="22.2">
      <c r="A1" s="334" t="s">
        <v>1009</v>
      </c>
      <c r="B1" s="334"/>
      <c r="C1" s="166"/>
      <c r="D1" s="166"/>
    </row>
    <row r="2" spans="1:5" ht="22.2">
      <c r="A2" s="166"/>
      <c r="B2" s="166"/>
      <c r="C2" s="166"/>
      <c r="D2" s="166"/>
    </row>
    <row r="3" spans="1:5" ht="19.8">
      <c r="A3" s="50" t="s">
        <v>89</v>
      </c>
      <c r="B3" s="50" t="s">
        <v>247</v>
      </c>
    </row>
    <row r="4" spans="1:5" ht="19.8">
      <c r="A4" s="51" t="s">
        <v>796</v>
      </c>
      <c r="B4" s="40" t="s">
        <v>793</v>
      </c>
    </row>
    <row r="5" spans="1:5" ht="19.8">
      <c r="A5" s="51" t="s">
        <v>790</v>
      </c>
      <c r="B5" s="40" t="s">
        <v>797</v>
      </c>
      <c r="C5" s="70"/>
    </row>
    <row r="6" spans="1:5">
      <c r="E6" s="70"/>
    </row>
  </sheetData>
  <mergeCells count="1">
    <mergeCell ref="A1:B1"/>
  </mergeCells>
  <phoneticPr fontId="1" type="noConversion"/>
  <hyperlinks>
    <hyperlink ref="B4" location="'B321'!A1" display="地形地貌分析"/>
    <hyperlink ref="B5" location="'B322'!A1" display="抗颱風力等級設定"/>
  </hyperlinks>
  <pageMargins left="0.7" right="0.7" top="0.75" bottom="0.75" header="0.3" footer="0.3"/>
  <pageSetup paperSize="9" orientation="portrait"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zoomScaleNormal="100" workbookViewId="0">
      <selection activeCell="E21" sqref="E21"/>
    </sheetView>
  </sheetViews>
  <sheetFormatPr defaultRowHeight="16.2"/>
  <cols>
    <col min="2" max="2" width="11" customWidth="1"/>
    <col min="3" max="3" width="20" bestFit="1" customWidth="1"/>
    <col min="4" max="5" width="11.88671875" bestFit="1" customWidth="1"/>
    <col min="6" max="6" width="19.109375" bestFit="1" customWidth="1"/>
    <col min="7" max="7" width="9.88671875" customWidth="1"/>
    <col min="9" max="9" width="24.33203125" customWidth="1"/>
    <col min="10" max="10" width="11.88671875" bestFit="1" customWidth="1"/>
    <col min="11" max="11" width="13.109375" customWidth="1"/>
  </cols>
  <sheetData>
    <row r="1" spans="1:6" ht="22.2">
      <c r="A1" s="217" t="s">
        <v>1008</v>
      </c>
    </row>
    <row r="2" spans="1:6" ht="22.2">
      <c r="A2" s="56"/>
    </row>
    <row r="3" spans="1:6" ht="22.2">
      <c r="A3" s="361" t="s">
        <v>303</v>
      </c>
      <c r="B3" s="362"/>
      <c r="C3" s="91" t="str">
        <f>'B11'!C6</f>
        <v>嘉義縣</v>
      </c>
      <c r="D3" s="258"/>
      <c r="E3" s="258"/>
    </row>
    <row r="4" spans="1:6" ht="19.8">
      <c r="A4" s="359" t="s">
        <v>289</v>
      </c>
      <c r="B4" s="360"/>
      <c r="C4" s="91" t="str">
        <f>'B11'!C13</f>
        <v>北</v>
      </c>
      <c r="D4" s="180"/>
      <c r="E4" s="32"/>
    </row>
    <row r="5" spans="1:6" ht="22.2">
      <c r="A5" s="165" t="s">
        <v>89</v>
      </c>
      <c r="B5" s="165" t="s">
        <v>282</v>
      </c>
      <c r="C5" s="165" t="s">
        <v>288</v>
      </c>
      <c r="D5" s="165" t="s">
        <v>286</v>
      </c>
      <c r="E5" s="165" t="s">
        <v>287</v>
      </c>
      <c r="F5" s="14" t="s">
        <v>472</v>
      </c>
    </row>
    <row r="6" spans="1:6" ht="19.8">
      <c r="A6" s="51">
        <v>1</v>
      </c>
      <c r="B6" s="165" t="s">
        <v>283</v>
      </c>
      <c r="C6" s="91" t="str">
        <f>'B11'!C17</f>
        <v>有</v>
      </c>
      <c r="D6" s="91" t="str">
        <f>'B11'!D17</f>
        <v>溫室</v>
      </c>
      <c r="E6" s="15">
        <f>'B11'!E17</f>
        <v>4</v>
      </c>
      <c r="F6" s="66">
        <f>INT(E6/3)*(-1)</f>
        <v>-1</v>
      </c>
    </row>
    <row r="7" spans="1:6" ht="19.8">
      <c r="A7" s="51">
        <v>2</v>
      </c>
      <c r="B7" s="165" t="s">
        <v>284</v>
      </c>
      <c r="C7" s="91" t="str">
        <f>'B11'!C18</f>
        <v>無</v>
      </c>
      <c r="D7" s="91" t="str">
        <f>'B11'!D18</f>
        <v>-</v>
      </c>
      <c r="E7" s="15">
        <f>'B11'!E18</f>
        <v>0</v>
      </c>
      <c r="F7" s="66">
        <f t="shared" ref="F7:F9" si="0">INT(E7/3)*(-1)</f>
        <v>0</v>
      </c>
    </row>
    <row r="8" spans="1:6" ht="19.8">
      <c r="A8" s="51">
        <v>3</v>
      </c>
      <c r="B8" s="165" t="s">
        <v>285</v>
      </c>
      <c r="C8" s="91" t="str">
        <f>'B11'!C19</f>
        <v>無</v>
      </c>
      <c r="D8" s="91" t="str">
        <f>'B11'!D19</f>
        <v>-</v>
      </c>
      <c r="E8" s="15">
        <f>'B11'!E19</f>
        <v>0</v>
      </c>
      <c r="F8" s="66">
        <f t="shared" si="0"/>
        <v>0</v>
      </c>
    </row>
    <row r="9" spans="1:6" ht="19.8">
      <c r="A9" s="51">
        <v>4</v>
      </c>
      <c r="B9" s="165" t="s">
        <v>276</v>
      </c>
      <c r="C9" s="91" t="str">
        <f>'B11'!C20</f>
        <v>無</v>
      </c>
      <c r="D9" s="91" t="str">
        <f>'B11'!D20</f>
        <v>-</v>
      </c>
      <c r="E9" s="15">
        <f>'B11'!E20</f>
        <v>0</v>
      </c>
      <c r="F9" s="66">
        <f t="shared" si="0"/>
        <v>0</v>
      </c>
    </row>
    <row r="10" spans="1:6" ht="19.8">
      <c r="A10" s="64"/>
      <c r="B10" s="52"/>
      <c r="C10" s="253"/>
      <c r="D10" s="253"/>
      <c r="E10" s="19"/>
      <c r="F10" s="118"/>
    </row>
    <row r="11" spans="1:6" ht="37.799999999999997">
      <c r="C11" s="207" t="s">
        <v>1156</v>
      </c>
      <c r="D11" s="83">
        <f>MAX(D13:D32)</f>
        <v>526</v>
      </c>
    </row>
    <row r="12" spans="1:6" ht="37.799999999999997">
      <c r="A12" s="234" t="s">
        <v>89</v>
      </c>
      <c r="B12" s="234" t="s">
        <v>259</v>
      </c>
      <c r="C12" s="207" t="s">
        <v>1156</v>
      </c>
      <c r="D12" s="236" t="s">
        <v>1157</v>
      </c>
    </row>
    <row r="13" spans="1:6" ht="22.2">
      <c r="A13" s="51">
        <v>1</v>
      </c>
      <c r="B13" s="239" t="s">
        <v>153</v>
      </c>
      <c r="C13" s="51">
        <v>218.5</v>
      </c>
      <c r="D13" s="51" t="str">
        <f t="shared" ref="D13:D32" si="1">IF($C$3=B13,C13,"-")</f>
        <v>-</v>
      </c>
    </row>
    <row r="14" spans="1:6" ht="22.2">
      <c r="A14" s="51">
        <v>2</v>
      </c>
      <c r="B14" s="239" t="s">
        <v>152</v>
      </c>
      <c r="C14" s="51">
        <v>603.5</v>
      </c>
      <c r="D14" s="51" t="str">
        <f t="shared" si="1"/>
        <v>-</v>
      </c>
    </row>
    <row r="15" spans="1:6" ht="22.2">
      <c r="A15" s="51">
        <v>3</v>
      </c>
      <c r="B15" s="239" t="s">
        <v>154</v>
      </c>
      <c r="C15" s="51" t="s">
        <v>240</v>
      </c>
      <c r="D15" s="51" t="str">
        <f t="shared" si="1"/>
        <v>-</v>
      </c>
    </row>
    <row r="16" spans="1:6" ht="22.2">
      <c r="A16" s="51">
        <v>4</v>
      </c>
      <c r="B16" s="239" t="s">
        <v>155</v>
      </c>
      <c r="C16" s="51">
        <v>602</v>
      </c>
      <c r="D16" s="51" t="str">
        <f t="shared" si="1"/>
        <v>-</v>
      </c>
    </row>
    <row r="17" spans="1:4" ht="22.2">
      <c r="A17" s="51">
        <v>5</v>
      </c>
      <c r="B17" s="239" t="s">
        <v>156</v>
      </c>
      <c r="C17" s="51" t="s">
        <v>240</v>
      </c>
      <c r="D17" s="51" t="str">
        <f t="shared" si="1"/>
        <v>-</v>
      </c>
    </row>
    <row r="18" spans="1:4" ht="22.2">
      <c r="A18" s="51">
        <v>6</v>
      </c>
      <c r="B18" s="239" t="s">
        <v>157</v>
      </c>
      <c r="C18" s="51">
        <v>478.9</v>
      </c>
      <c r="D18" s="51" t="str">
        <f t="shared" si="1"/>
        <v>-</v>
      </c>
    </row>
    <row r="19" spans="1:4" ht="22.2">
      <c r="A19" s="51">
        <v>7</v>
      </c>
      <c r="B19" s="239" t="s">
        <v>158</v>
      </c>
      <c r="C19" s="51" t="s">
        <v>240</v>
      </c>
      <c r="D19" s="51" t="str">
        <f t="shared" si="1"/>
        <v>-</v>
      </c>
    </row>
    <row r="20" spans="1:4" ht="22.2">
      <c r="A20" s="51">
        <v>8</v>
      </c>
      <c r="B20" s="239" t="s">
        <v>159</v>
      </c>
      <c r="C20" s="51" t="s">
        <v>240</v>
      </c>
      <c r="D20" s="51" t="str">
        <f t="shared" si="1"/>
        <v>-</v>
      </c>
    </row>
    <row r="21" spans="1:4" ht="22.2">
      <c r="A21" s="51">
        <v>9</v>
      </c>
      <c r="B21" s="239" t="s">
        <v>160</v>
      </c>
      <c r="C21" s="51">
        <v>526</v>
      </c>
      <c r="D21" s="51">
        <f t="shared" si="1"/>
        <v>526</v>
      </c>
    </row>
    <row r="22" spans="1:4" ht="22.2">
      <c r="A22" s="51">
        <v>10</v>
      </c>
      <c r="B22" s="239" t="s">
        <v>161</v>
      </c>
      <c r="C22" s="51">
        <v>535</v>
      </c>
      <c r="D22" s="51" t="str">
        <f t="shared" si="1"/>
        <v>-</v>
      </c>
    </row>
    <row r="23" spans="1:4" ht="22.2">
      <c r="A23" s="51">
        <v>11</v>
      </c>
      <c r="B23" s="239" t="s">
        <v>162</v>
      </c>
      <c r="C23" s="51">
        <v>537.5</v>
      </c>
      <c r="D23" s="51" t="str">
        <f t="shared" si="1"/>
        <v>-</v>
      </c>
    </row>
    <row r="24" spans="1:4" ht="22.2">
      <c r="A24" s="51">
        <v>12</v>
      </c>
      <c r="B24" s="239" t="s">
        <v>163</v>
      </c>
      <c r="C24" s="51">
        <v>618.5</v>
      </c>
      <c r="D24" s="51" t="str">
        <f t="shared" si="1"/>
        <v>-</v>
      </c>
    </row>
    <row r="25" spans="1:4" ht="22.2">
      <c r="A25" s="51">
        <v>13</v>
      </c>
      <c r="B25" s="239" t="s">
        <v>725</v>
      </c>
      <c r="C25" s="51">
        <v>655</v>
      </c>
      <c r="D25" s="51" t="str">
        <f t="shared" si="1"/>
        <v>-</v>
      </c>
    </row>
    <row r="26" spans="1:4" ht="22.2">
      <c r="A26" s="51">
        <v>14</v>
      </c>
      <c r="B26" s="239" t="s">
        <v>151</v>
      </c>
      <c r="C26" s="51">
        <v>490.3</v>
      </c>
      <c r="D26" s="51" t="str">
        <f t="shared" si="1"/>
        <v>-</v>
      </c>
    </row>
    <row r="27" spans="1:4" ht="22.2">
      <c r="A27" s="51">
        <v>15</v>
      </c>
      <c r="B27" s="239" t="s">
        <v>0</v>
      </c>
      <c r="C27" s="51">
        <v>400</v>
      </c>
      <c r="D27" s="51" t="str">
        <f t="shared" si="1"/>
        <v>-</v>
      </c>
    </row>
    <row r="28" spans="1:4" ht="22.2">
      <c r="A28" s="51">
        <v>16</v>
      </c>
      <c r="B28" s="239" t="s">
        <v>149</v>
      </c>
      <c r="C28" s="51">
        <v>443.5</v>
      </c>
      <c r="D28" s="51" t="str">
        <f t="shared" si="1"/>
        <v>-</v>
      </c>
    </row>
    <row r="29" spans="1:4" ht="22.2">
      <c r="A29" s="51">
        <v>17</v>
      </c>
      <c r="B29" s="239" t="s">
        <v>150</v>
      </c>
      <c r="C29" s="51">
        <v>842</v>
      </c>
      <c r="D29" s="51" t="str">
        <f t="shared" si="1"/>
        <v>-</v>
      </c>
    </row>
    <row r="30" spans="1:4" ht="22.2">
      <c r="A30" s="51">
        <v>18</v>
      </c>
      <c r="B30" s="239" t="s">
        <v>164</v>
      </c>
      <c r="C30" s="51">
        <v>430.5</v>
      </c>
      <c r="D30" s="51" t="str">
        <f t="shared" si="1"/>
        <v>-</v>
      </c>
    </row>
    <row r="31" spans="1:4" ht="22.2">
      <c r="A31" s="51">
        <v>19</v>
      </c>
      <c r="B31" s="239" t="s">
        <v>165</v>
      </c>
      <c r="C31" s="51">
        <v>250</v>
      </c>
      <c r="D31" s="51" t="str">
        <f t="shared" si="1"/>
        <v>-</v>
      </c>
    </row>
    <row r="32" spans="1:4" ht="22.2">
      <c r="A32" s="51">
        <v>20</v>
      </c>
      <c r="B32" s="239" t="s">
        <v>166</v>
      </c>
      <c r="C32" s="51">
        <v>120.5</v>
      </c>
      <c r="D32" s="51" t="str">
        <f t="shared" si="1"/>
        <v>-</v>
      </c>
    </row>
  </sheetData>
  <mergeCells count="2">
    <mergeCell ref="A4:B4"/>
    <mergeCell ref="A3:B3"/>
  </mergeCells>
  <phoneticPr fontId="1" type="noConversion"/>
  <pageMargins left="0.7" right="0.7" top="0.75" bottom="0.75" header="0.3" footer="0.3"/>
  <pageSetup paperSize="9" orientation="portrait" horizontalDpi="1200" verticalDpi="12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election activeCell="H5" sqref="H5"/>
    </sheetView>
  </sheetViews>
  <sheetFormatPr defaultRowHeight="16.2"/>
  <cols>
    <col min="1" max="1" width="10.33203125" customWidth="1"/>
    <col min="2" max="2" width="23.33203125" customWidth="1"/>
    <col min="3" max="6" width="11.88671875" bestFit="1" customWidth="1"/>
    <col min="11" max="11" width="11.88671875" bestFit="1" customWidth="1"/>
  </cols>
  <sheetData>
    <row r="1" spans="1:11" ht="22.2">
      <c r="A1" s="321" t="s">
        <v>1007</v>
      </c>
      <c r="B1" s="321"/>
      <c r="C1" s="60"/>
      <c r="D1" s="60"/>
    </row>
    <row r="2" spans="1:11" ht="22.2">
      <c r="A2" s="59"/>
      <c r="B2" s="59"/>
      <c r="C2" s="60"/>
      <c r="D2" s="60"/>
    </row>
    <row r="3" spans="1:11" ht="22.2">
      <c r="A3" s="121"/>
      <c r="B3" s="14" t="s">
        <v>303</v>
      </c>
      <c r="C3" s="291" t="str">
        <f>'B11'!C6</f>
        <v>嘉義縣</v>
      </c>
      <c r="D3" s="291"/>
      <c r="E3" s="291"/>
      <c r="F3" s="291"/>
    </row>
    <row r="4" spans="1:11" ht="22.2">
      <c r="A4" s="60"/>
      <c r="B4" s="14" t="s">
        <v>591</v>
      </c>
      <c r="C4" s="58" t="s">
        <v>467</v>
      </c>
      <c r="D4" s="58" t="s">
        <v>468</v>
      </c>
      <c r="E4" s="58" t="s">
        <v>469</v>
      </c>
      <c r="F4" s="58" t="s">
        <v>470</v>
      </c>
    </row>
    <row r="5" spans="1:11" ht="22.2">
      <c r="A5" s="60"/>
      <c r="B5" s="39" t="s">
        <v>471</v>
      </c>
      <c r="C5" s="82">
        <f>'B11'!$E$17</f>
        <v>4</v>
      </c>
      <c r="D5" s="82">
        <f>'B11'!$E$18</f>
        <v>0</v>
      </c>
      <c r="E5" s="82">
        <f>'B11'!$E$19</f>
        <v>0</v>
      </c>
      <c r="F5" s="82">
        <f>'B11'!E20</f>
        <v>0</v>
      </c>
    </row>
    <row r="6" spans="1:11" ht="22.2">
      <c r="A6" s="60"/>
      <c r="B6" s="14" t="s">
        <v>472</v>
      </c>
      <c r="C6" s="83">
        <f>INT(C5/3)*(-1)</f>
        <v>-1</v>
      </c>
      <c r="D6" s="83">
        <f t="shared" ref="D6:F6" si="0">INT(D5/3)*(-1)</f>
        <v>0</v>
      </c>
      <c r="E6" s="83">
        <f t="shared" si="0"/>
        <v>0</v>
      </c>
      <c r="F6" s="83">
        <f t="shared" si="0"/>
        <v>0</v>
      </c>
    </row>
    <row r="7" spans="1:11" ht="22.2">
      <c r="A7" s="182"/>
      <c r="B7" s="81"/>
      <c r="C7" s="189"/>
      <c r="D7" s="189"/>
      <c r="E7" s="189"/>
      <c r="F7" s="189"/>
      <c r="G7" s="183" t="s">
        <v>74</v>
      </c>
      <c r="H7" s="183" t="s">
        <v>86</v>
      </c>
      <c r="I7" s="183" t="s">
        <v>87</v>
      </c>
      <c r="J7" s="183" t="s">
        <v>78</v>
      </c>
      <c r="K7" s="234" t="s">
        <v>1150</v>
      </c>
    </row>
    <row r="8" spans="1:11" s="70" customFormat="1" ht="22.2">
      <c r="A8" s="81"/>
      <c r="B8" s="81"/>
      <c r="C8" s="64"/>
      <c r="D8" s="64"/>
      <c r="E8" s="341" t="s">
        <v>1147</v>
      </c>
      <c r="F8" s="341"/>
      <c r="G8" s="190">
        <f>G31+C6</f>
        <v>9</v>
      </c>
      <c r="H8" s="190">
        <f t="shared" ref="H8:J8" si="1">H31+D6</f>
        <v>12</v>
      </c>
      <c r="I8" s="190">
        <f t="shared" si="1"/>
        <v>12</v>
      </c>
      <c r="J8" s="190">
        <f t="shared" si="1"/>
        <v>12</v>
      </c>
      <c r="K8" s="190">
        <f>MAX(G8:J8)</f>
        <v>12</v>
      </c>
    </row>
    <row r="9" spans="1:11" ht="22.2">
      <c r="A9" s="60"/>
      <c r="B9" s="60"/>
      <c r="C9" s="363" t="s">
        <v>475</v>
      </c>
      <c r="D9" s="363"/>
      <c r="E9" s="363"/>
      <c r="F9" s="363"/>
      <c r="G9" s="363" t="s">
        <v>473</v>
      </c>
      <c r="H9" s="363"/>
      <c r="I9" s="363"/>
      <c r="J9" s="363"/>
    </row>
    <row r="10" spans="1:11" ht="19.8">
      <c r="A10" s="58" t="s">
        <v>89</v>
      </c>
      <c r="B10" s="58" t="s">
        <v>259</v>
      </c>
      <c r="C10" s="58" t="s">
        <v>467</v>
      </c>
      <c r="D10" s="58" t="s">
        <v>468</v>
      </c>
      <c r="E10" s="58" t="s">
        <v>469</v>
      </c>
      <c r="F10" s="58" t="s">
        <v>470</v>
      </c>
      <c r="G10" s="58" t="s">
        <v>467</v>
      </c>
      <c r="H10" s="58" t="s">
        <v>468</v>
      </c>
      <c r="I10" s="58" t="s">
        <v>469</v>
      </c>
      <c r="J10" s="58" t="s">
        <v>470</v>
      </c>
    </row>
    <row r="11" spans="1:11" ht="22.2">
      <c r="A11" s="51">
        <v>1</v>
      </c>
      <c r="B11" s="148" t="s">
        <v>153</v>
      </c>
      <c r="C11" s="51">
        <v>9</v>
      </c>
      <c r="D11" s="51">
        <v>11</v>
      </c>
      <c r="E11" s="51">
        <v>11</v>
      </c>
      <c r="F11" s="51">
        <v>11</v>
      </c>
      <c r="G11" s="51" t="str">
        <f>IF($C$3=B11,C11,"-")</f>
        <v>-</v>
      </c>
      <c r="H11" s="51" t="str">
        <f>IF($C$3=B11,D11,"-")</f>
        <v>-</v>
      </c>
      <c r="I11" s="51" t="str">
        <f>IF($C$3=B11,E11,"-")</f>
        <v>-</v>
      </c>
      <c r="J11" s="51" t="str">
        <f>IF($C$3=B11,F11,"-")</f>
        <v>-</v>
      </c>
    </row>
    <row r="12" spans="1:11" ht="22.2">
      <c r="A12" s="51">
        <v>2</v>
      </c>
      <c r="B12" s="148" t="s">
        <v>152</v>
      </c>
      <c r="C12" s="51">
        <v>12</v>
      </c>
      <c r="D12" s="51">
        <v>14</v>
      </c>
      <c r="E12" s="51">
        <v>14</v>
      </c>
      <c r="F12" s="51">
        <v>14</v>
      </c>
      <c r="G12" s="51" t="str">
        <f t="shared" ref="G12:G20" si="2">IF($C$3=B12,C12,"-")</f>
        <v>-</v>
      </c>
      <c r="H12" s="51" t="str">
        <f t="shared" ref="H12:H20" si="3">IF($C$3=B12,D12,"-")</f>
        <v>-</v>
      </c>
      <c r="I12" s="51" t="str">
        <f t="shared" ref="I12:I20" si="4">IF($C$3=B12,E12,"-")</f>
        <v>-</v>
      </c>
      <c r="J12" s="51" t="str">
        <f t="shared" ref="J12:J20" si="5">IF($C$3=B12,F12,"-")</f>
        <v>-</v>
      </c>
    </row>
    <row r="13" spans="1:11" ht="22.2">
      <c r="A13" s="51">
        <v>3</v>
      </c>
      <c r="B13" s="148" t="s">
        <v>154</v>
      </c>
      <c r="C13" s="51">
        <v>13</v>
      </c>
      <c r="D13" s="51">
        <v>15</v>
      </c>
      <c r="E13" s="51">
        <v>15</v>
      </c>
      <c r="F13" s="51">
        <v>15</v>
      </c>
      <c r="G13" s="51" t="str">
        <f t="shared" si="2"/>
        <v>-</v>
      </c>
      <c r="H13" s="51" t="str">
        <f t="shared" si="3"/>
        <v>-</v>
      </c>
      <c r="I13" s="51" t="str">
        <f t="shared" si="4"/>
        <v>-</v>
      </c>
      <c r="J13" s="51" t="str">
        <f t="shared" si="5"/>
        <v>-</v>
      </c>
    </row>
    <row r="14" spans="1:11" ht="22.2">
      <c r="A14" s="51">
        <v>4</v>
      </c>
      <c r="B14" s="148" t="s">
        <v>155</v>
      </c>
      <c r="C14" s="51">
        <v>10</v>
      </c>
      <c r="D14" s="51">
        <v>12</v>
      </c>
      <c r="E14" s="51">
        <v>12</v>
      </c>
      <c r="F14" s="51">
        <v>12</v>
      </c>
      <c r="G14" s="51" t="str">
        <f t="shared" si="2"/>
        <v>-</v>
      </c>
      <c r="H14" s="51" t="str">
        <f t="shared" si="3"/>
        <v>-</v>
      </c>
      <c r="I14" s="51" t="str">
        <f t="shared" si="4"/>
        <v>-</v>
      </c>
      <c r="J14" s="51" t="str">
        <f t="shared" si="5"/>
        <v>-</v>
      </c>
    </row>
    <row r="15" spans="1:11" ht="22.2">
      <c r="A15" s="51">
        <v>5</v>
      </c>
      <c r="B15" s="148" t="s">
        <v>156</v>
      </c>
      <c r="C15" s="51">
        <v>10</v>
      </c>
      <c r="D15" s="51">
        <v>12</v>
      </c>
      <c r="E15" s="51">
        <v>12</v>
      </c>
      <c r="F15" s="51">
        <v>12</v>
      </c>
      <c r="G15" s="51" t="str">
        <f t="shared" si="2"/>
        <v>-</v>
      </c>
      <c r="H15" s="51" t="str">
        <f t="shared" si="3"/>
        <v>-</v>
      </c>
      <c r="I15" s="51" t="str">
        <f t="shared" si="4"/>
        <v>-</v>
      </c>
      <c r="J15" s="51" t="str">
        <f t="shared" si="5"/>
        <v>-</v>
      </c>
    </row>
    <row r="16" spans="1:11" ht="22.2">
      <c r="A16" s="51">
        <v>6</v>
      </c>
      <c r="B16" s="148" t="s">
        <v>157</v>
      </c>
      <c r="C16" s="51">
        <v>10</v>
      </c>
      <c r="D16" s="51">
        <v>12</v>
      </c>
      <c r="E16" s="51">
        <v>12</v>
      </c>
      <c r="F16" s="51">
        <v>12</v>
      </c>
      <c r="G16" s="51" t="str">
        <f t="shared" si="2"/>
        <v>-</v>
      </c>
      <c r="H16" s="51" t="str">
        <f t="shared" si="3"/>
        <v>-</v>
      </c>
      <c r="I16" s="51" t="str">
        <f t="shared" si="4"/>
        <v>-</v>
      </c>
      <c r="J16" s="51" t="str">
        <f t="shared" si="5"/>
        <v>-</v>
      </c>
    </row>
    <row r="17" spans="1:10" ht="22.2">
      <c r="A17" s="51">
        <v>7</v>
      </c>
      <c r="B17" s="148" t="s">
        <v>158</v>
      </c>
      <c r="C17" s="51">
        <v>10</v>
      </c>
      <c r="D17" s="51">
        <v>12</v>
      </c>
      <c r="E17" s="51">
        <v>12</v>
      </c>
      <c r="F17" s="51">
        <v>12</v>
      </c>
      <c r="G17" s="51" t="str">
        <f t="shared" si="2"/>
        <v>-</v>
      </c>
      <c r="H17" s="51" t="str">
        <f t="shared" si="3"/>
        <v>-</v>
      </c>
      <c r="I17" s="51" t="str">
        <f t="shared" si="4"/>
        <v>-</v>
      </c>
      <c r="J17" s="51" t="str">
        <f t="shared" si="5"/>
        <v>-</v>
      </c>
    </row>
    <row r="18" spans="1:10" ht="22.2">
      <c r="A18" s="51">
        <v>8</v>
      </c>
      <c r="B18" s="148" t="s">
        <v>159</v>
      </c>
      <c r="C18" s="51">
        <v>10</v>
      </c>
      <c r="D18" s="51">
        <v>12</v>
      </c>
      <c r="E18" s="51">
        <v>12</v>
      </c>
      <c r="F18" s="51">
        <v>12</v>
      </c>
      <c r="G18" s="51" t="str">
        <f t="shared" si="2"/>
        <v>-</v>
      </c>
      <c r="H18" s="51" t="str">
        <f t="shared" si="3"/>
        <v>-</v>
      </c>
      <c r="I18" s="51" t="str">
        <f t="shared" si="4"/>
        <v>-</v>
      </c>
      <c r="J18" s="51" t="str">
        <f t="shared" si="5"/>
        <v>-</v>
      </c>
    </row>
    <row r="19" spans="1:10" ht="22.2">
      <c r="A19" s="51">
        <v>9</v>
      </c>
      <c r="B19" s="148" t="s">
        <v>160</v>
      </c>
      <c r="C19" s="51">
        <v>10</v>
      </c>
      <c r="D19" s="51">
        <v>12</v>
      </c>
      <c r="E19" s="51">
        <v>12</v>
      </c>
      <c r="F19" s="51">
        <v>12</v>
      </c>
      <c r="G19" s="51">
        <f t="shared" si="2"/>
        <v>10</v>
      </c>
      <c r="H19" s="51">
        <f t="shared" si="3"/>
        <v>12</v>
      </c>
      <c r="I19" s="51">
        <f t="shared" si="4"/>
        <v>12</v>
      </c>
      <c r="J19" s="51">
        <f t="shared" si="5"/>
        <v>12</v>
      </c>
    </row>
    <row r="20" spans="1:10" ht="22.2">
      <c r="A20" s="51">
        <v>10</v>
      </c>
      <c r="B20" s="148" t="s">
        <v>161</v>
      </c>
      <c r="C20" s="51">
        <v>11</v>
      </c>
      <c r="D20" s="51">
        <v>13</v>
      </c>
      <c r="E20" s="51">
        <v>13</v>
      </c>
      <c r="F20" s="51">
        <v>13</v>
      </c>
      <c r="G20" s="51" t="str">
        <f t="shared" si="2"/>
        <v>-</v>
      </c>
      <c r="H20" s="51" t="str">
        <f t="shared" si="3"/>
        <v>-</v>
      </c>
      <c r="I20" s="51" t="str">
        <f t="shared" si="4"/>
        <v>-</v>
      </c>
      <c r="J20" s="51" t="str">
        <f t="shared" si="5"/>
        <v>-</v>
      </c>
    </row>
    <row r="21" spans="1:10" ht="22.2">
      <c r="A21" s="51">
        <v>11</v>
      </c>
      <c r="B21" s="148" t="s">
        <v>162</v>
      </c>
      <c r="C21" s="51">
        <v>11</v>
      </c>
      <c r="D21" s="51">
        <v>13</v>
      </c>
      <c r="E21" s="51">
        <v>13</v>
      </c>
      <c r="F21" s="51">
        <v>13</v>
      </c>
      <c r="G21" s="51" t="str">
        <f t="shared" ref="G21:G30" si="6">IF($C$3=B21,C21,"-")</f>
        <v>-</v>
      </c>
      <c r="H21" s="51" t="str">
        <f t="shared" ref="H21:H30" si="7">IF($C$3=B21,D21,"-")</f>
        <v>-</v>
      </c>
      <c r="I21" s="51" t="str">
        <f t="shared" ref="I21:I30" si="8">IF($C$3=B21,E21,"-")</f>
        <v>-</v>
      </c>
      <c r="J21" s="51" t="str">
        <f t="shared" ref="J21:J30" si="9">IF($C$3=B21,F21,"-")</f>
        <v>-</v>
      </c>
    </row>
    <row r="22" spans="1:10" ht="22.2">
      <c r="A22" s="51">
        <v>12</v>
      </c>
      <c r="B22" s="148" t="s">
        <v>163</v>
      </c>
      <c r="C22" s="51">
        <v>9</v>
      </c>
      <c r="D22" s="51">
        <v>11</v>
      </c>
      <c r="E22" s="51">
        <v>11</v>
      </c>
      <c r="F22" s="51">
        <v>11</v>
      </c>
      <c r="G22" s="51" t="str">
        <f t="shared" si="6"/>
        <v>-</v>
      </c>
      <c r="H22" s="51" t="str">
        <f t="shared" si="7"/>
        <v>-</v>
      </c>
      <c r="I22" s="51" t="str">
        <f t="shared" si="8"/>
        <v>-</v>
      </c>
      <c r="J22" s="51" t="str">
        <f t="shared" si="9"/>
        <v>-</v>
      </c>
    </row>
    <row r="23" spans="1:10" ht="22.2">
      <c r="A23" s="51">
        <v>13</v>
      </c>
      <c r="B23" s="148" t="s">
        <v>725</v>
      </c>
      <c r="C23" s="51">
        <v>12</v>
      </c>
      <c r="D23" s="51">
        <v>14</v>
      </c>
      <c r="E23" s="51">
        <v>14</v>
      </c>
      <c r="F23" s="51">
        <v>14</v>
      </c>
      <c r="G23" s="51" t="str">
        <f t="shared" si="6"/>
        <v>-</v>
      </c>
      <c r="H23" s="51" t="str">
        <f t="shared" si="7"/>
        <v>-</v>
      </c>
      <c r="I23" s="51" t="str">
        <f t="shared" si="8"/>
        <v>-</v>
      </c>
      <c r="J23" s="51" t="str">
        <f t="shared" si="9"/>
        <v>-</v>
      </c>
    </row>
    <row r="24" spans="1:10" ht="22.2">
      <c r="A24" s="51">
        <v>14</v>
      </c>
      <c r="B24" s="148" t="s">
        <v>151</v>
      </c>
      <c r="C24" s="51">
        <v>15</v>
      </c>
      <c r="D24" s="51">
        <v>13</v>
      </c>
      <c r="E24" s="51">
        <v>13</v>
      </c>
      <c r="F24" s="51">
        <v>15</v>
      </c>
      <c r="G24" s="51" t="str">
        <f t="shared" si="6"/>
        <v>-</v>
      </c>
      <c r="H24" s="51" t="str">
        <f t="shared" si="7"/>
        <v>-</v>
      </c>
      <c r="I24" s="51" t="str">
        <f t="shared" si="8"/>
        <v>-</v>
      </c>
      <c r="J24" s="51" t="str">
        <f t="shared" si="9"/>
        <v>-</v>
      </c>
    </row>
    <row r="25" spans="1:10" ht="22.2">
      <c r="A25" s="51">
        <v>15</v>
      </c>
      <c r="B25" s="148" t="s">
        <v>0</v>
      </c>
      <c r="C25" s="51">
        <v>15</v>
      </c>
      <c r="D25" s="51">
        <v>13</v>
      </c>
      <c r="E25" s="51">
        <v>15</v>
      </c>
      <c r="F25" s="51">
        <v>15</v>
      </c>
      <c r="G25" s="51" t="str">
        <f t="shared" si="6"/>
        <v>-</v>
      </c>
      <c r="H25" s="51" t="str">
        <f t="shared" si="7"/>
        <v>-</v>
      </c>
      <c r="I25" s="51" t="str">
        <f t="shared" si="8"/>
        <v>-</v>
      </c>
      <c r="J25" s="51" t="str">
        <f t="shared" si="9"/>
        <v>-</v>
      </c>
    </row>
    <row r="26" spans="1:10" ht="22.2">
      <c r="A26" s="51">
        <v>16</v>
      </c>
      <c r="B26" s="148" t="s">
        <v>149</v>
      </c>
      <c r="C26" s="51">
        <v>17</v>
      </c>
      <c r="D26" s="51">
        <v>15</v>
      </c>
      <c r="E26" s="51">
        <v>17</v>
      </c>
      <c r="F26" s="51">
        <v>17</v>
      </c>
      <c r="G26" s="51" t="str">
        <f t="shared" si="6"/>
        <v>-</v>
      </c>
      <c r="H26" s="51" t="str">
        <f t="shared" si="7"/>
        <v>-</v>
      </c>
      <c r="I26" s="51" t="str">
        <f t="shared" si="8"/>
        <v>-</v>
      </c>
      <c r="J26" s="51" t="str">
        <f t="shared" si="9"/>
        <v>-</v>
      </c>
    </row>
    <row r="27" spans="1:10" ht="22.2">
      <c r="A27" s="51">
        <v>17</v>
      </c>
      <c r="B27" s="148" t="s">
        <v>150</v>
      </c>
      <c r="C27" s="51">
        <v>17</v>
      </c>
      <c r="D27" s="51">
        <v>15</v>
      </c>
      <c r="E27" s="51">
        <v>17</v>
      </c>
      <c r="F27" s="51">
        <v>17</v>
      </c>
      <c r="G27" s="51" t="str">
        <f t="shared" si="6"/>
        <v>-</v>
      </c>
      <c r="H27" s="51" t="str">
        <f t="shared" si="7"/>
        <v>-</v>
      </c>
      <c r="I27" s="51" t="str">
        <f t="shared" si="8"/>
        <v>-</v>
      </c>
      <c r="J27" s="51" t="str">
        <f t="shared" si="9"/>
        <v>-</v>
      </c>
    </row>
    <row r="28" spans="1:10" ht="22.2">
      <c r="A28" s="51">
        <v>18</v>
      </c>
      <c r="B28" s="148" t="s">
        <v>164</v>
      </c>
      <c r="C28" s="51">
        <v>16</v>
      </c>
      <c r="D28" s="51">
        <v>16</v>
      </c>
      <c r="E28" s="51">
        <v>16</v>
      </c>
      <c r="F28" s="51">
        <v>16</v>
      </c>
      <c r="G28" s="51" t="str">
        <f t="shared" si="6"/>
        <v>-</v>
      </c>
      <c r="H28" s="51" t="str">
        <f t="shared" si="7"/>
        <v>-</v>
      </c>
      <c r="I28" s="51" t="str">
        <f t="shared" si="8"/>
        <v>-</v>
      </c>
      <c r="J28" s="51" t="str">
        <f t="shared" si="9"/>
        <v>-</v>
      </c>
    </row>
    <row r="29" spans="1:10" ht="22.2">
      <c r="A29" s="51">
        <v>19</v>
      </c>
      <c r="B29" s="148" t="s">
        <v>165</v>
      </c>
      <c r="C29" s="51">
        <v>17</v>
      </c>
      <c r="D29" s="51">
        <v>17</v>
      </c>
      <c r="E29" s="51">
        <v>17</v>
      </c>
      <c r="F29" s="51">
        <v>17</v>
      </c>
      <c r="G29" s="51" t="str">
        <f t="shared" si="6"/>
        <v>-</v>
      </c>
      <c r="H29" s="51" t="str">
        <f t="shared" si="7"/>
        <v>-</v>
      </c>
      <c r="I29" s="51" t="str">
        <f t="shared" si="8"/>
        <v>-</v>
      </c>
      <c r="J29" s="51" t="str">
        <f t="shared" si="9"/>
        <v>-</v>
      </c>
    </row>
    <row r="30" spans="1:10" ht="22.2">
      <c r="A30" s="51">
        <v>20</v>
      </c>
      <c r="B30" s="148" t="s">
        <v>166</v>
      </c>
      <c r="C30" s="51">
        <v>15</v>
      </c>
      <c r="D30" s="51">
        <v>15</v>
      </c>
      <c r="E30" s="51">
        <v>15</v>
      </c>
      <c r="F30" s="51">
        <v>15</v>
      </c>
      <c r="G30" s="51" t="str">
        <f t="shared" si="6"/>
        <v>-</v>
      </c>
      <c r="H30" s="51" t="str">
        <f t="shared" si="7"/>
        <v>-</v>
      </c>
      <c r="I30" s="51" t="str">
        <f t="shared" si="8"/>
        <v>-</v>
      </c>
      <c r="J30" s="51" t="str">
        <f t="shared" si="9"/>
        <v>-</v>
      </c>
    </row>
    <row r="31" spans="1:10" ht="19.8">
      <c r="F31" s="111" t="s">
        <v>568</v>
      </c>
      <c r="G31" s="83">
        <f>MAX(G11:G29)</f>
        <v>10</v>
      </c>
      <c r="H31" s="83">
        <f>MAX(H11:H29)</f>
        <v>12</v>
      </c>
      <c r="I31" s="83">
        <f>MAX(I11:I29)</f>
        <v>12</v>
      </c>
      <c r="J31" s="83">
        <f>MAX(J11:J29)</f>
        <v>12</v>
      </c>
    </row>
  </sheetData>
  <mergeCells count="5">
    <mergeCell ref="E8:F8"/>
    <mergeCell ref="A1:B1"/>
    <mergeCell ref="C9:F9"/>
    <mergeCell ref="G9:J9"/>
    <mergeCell ref="C3:F3"/>
  </mergeCells>
  <phoneticPr fontId="1" type="noConversion"/>
  <pageMargins left="0.7" right="0.7" top="0.75" bottom="0.75" header="0.3" footer="0.3"/>
  <pageSetup paperSize="9" orientation="portrait" horizontalDpi="1200" verticalDpi="12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tabSelected="1" workbookViewId="0">
      <selection sqref="A1:B1"/>
    </sheetView>
  </sheetViews>
  <sheetFormatPr defaultRowHeight="16.2"/>
  <cols>
    <col min="1" max="1" width="10.33203125" customWidth="1"/>
    <col min="2" max="2" width="25.77734375" bestFit="1" customWidth="1"/>
    <col min="3" max="3" width="11.88671875" bestFit="1" customWidth="1"/>
    <col min="4" max="4" width="11.88671875" customWidth="1"/>
    <col min="5" max="5" width="19.109375" bestFit="1" customWidth="1"/>
    <col min="6" max="6" width="10.77734375" customWidth="1"/>
    <col min="7" max="7" width="10" customWidth="1"/>
  </cols>
  <sheetData>
    <row r="1" spans="1:5" ht="22.2">
      <c r="A1" s="310" t="s">
        <v>1006</v>
      </c>
      <c r="B1" s="310"/>
      <c r="C1" s="13"/>
      <c r="D1" s="112"/>
      <c r="E1" s="13"/>
    </row>
    <row r="2" spans="1:5" ht="22.2">
      <c r="A2" s="60"/>
      <c r="B2" s="60"/>
      <c r="C2" s="60"/>
      <c r="D2" s="112"/>
      <c r="E2" s="60"/>
    </row>
    <row r="3" spans="1:5" ht="19.8">
      <c r="A3" s="50" t="s">
        <v>89</v>
      </c>
      <c r="B3" s="50" t="s">
        <v>247</v>
      </c>
      <c r="C3" s="50" t="s">
        <v>296</v>
      </c>
      <c r="D3" s="65"/>
    </row>
    <row r="4" spans="1:5" ht="19.8">
      <c r="A4" s="51">
        <v>1</v>
      </c>
      <c r="B4" s="58" t="s">
        <v>298</v>
      </c>
      <c r="C4" s="15">
        <f>'B11'!C23</f>
        <v>25</v>
      </c>
      <c r="D4" s="19"/>
    </row>
    <row r="5" spans="1:5" ht="19.8">
      <c r="A5" s="51">
        <v>2</v>
      </c>
      <c r="B5" s="50" t="s">
        <v>299</v>
      </c>
      <c r="C5" s="15">
        <f>'B11'!C24</f>
        <v>104</v>
      </c>
      <c r="D5" s="19"/>
    </row>
    <row r="6" spans="1:5" ht="20.399999999999999">
      <c r="A6" s="51">
        <v>3</v>
      </c>
      <c r="B6" s="50" t="s">
        <v>300</v>
      </c>
      <c r="C6" s="15">
        <f>'B11'!C25</f>
        <v>2600</v>
      </c>
      <c r="D6" s="118"/>
    </row>
    <row r="7" spans="1:5" ht="19.8">
      <c r="A7" s="51">
        <v>4</v>
      </c>
      <c r="B7" s="50" t="s">
        <v>290</v>
      </c>
      <c r="C7" s="102" t="str">
        <f>'B11'!$C$14</f>
        <v>小番茄</v>
      </c>
      <c r="D7" s="102">
        <f>'B11'!$D$14</f>
        <v>0</v>
      </c>
    </row>
    <row r="8" spans="1:5" ht="19.8">
      <c r="A8" s="51">
        <v>5</v>
      </c>
      <c r="B8" s="65" t="s">
        <v>900</v>
      </c>
      <c r="C8" s="102" t="str">
        <f>'B11'!C13</f>
        <v>北</v>
      </c>
      <c r="D8" s="65"/>
    </row>
    <row r="9" spans="1:5" ht="19.8">
      <c r="A9" s="51">
        <v>6</v>
      </c>
      <c r="B9" s="58" t="s">
        <v>293</v>
      </c>
      <c r="C9" s="15">
        <f>'B11'!C26</f>
        <v>22.6</v>
      </c>
      <c r="D9" s="19"/>
    </row>
    <row r="10" spans="1:5" ht="19.8">
      <c r="A10" s="51">
        <v>7</v>
      </c>
      <c r="B10" s="50" t="s">
        <v>294</v>
      </c>
      <c r="C10" s="15">
        <f>'B11'!C27</f>
        <v>102</v>
      </c>
      <c r="D10" s="19"/>
    </row>
    <row r="11" spans="1:5" ht="20.399999999999999">
      <c r="A11" s="51">
        <v>8</v>
      </c>
      <c r="B11" s="50" t="s">
        <v>295</v>
      </c>
      <c r="C11" s="15">
        <f>'B11'!C28</f>
        <v>2305.2000000000003</v>
      </c>
      <c r="D11" s="118"/>
    </row>
    <row r="12" spans="1:5" ht="19.8">
      <c r="A12" s="51">
        <v>9</v>
      </c>
      <c r="B12" s="50" t="s">
        <v>297</v>
      </c>
      <c r="C12" s="15">
        <f>'B11'!C30</f>
        <v>550</v>
      </c>
      <c r="D12" s="19"/>
    </row>
    <row r="13" spans="1:5" ht="19.8">
      <c r="A13" s="51">
        <v>10</v>
      </c>
      <c r="B13" s="255" t="s">
        <v>1145</v>
      </c>
      <c r="C13" s="15">
        <f>'B313'!F63</f>
        <v>4</v>
      </c>
    </row>
    <row r="14" spans="1:5" ht="19.8">
      <c r="A14" s="51">
        <v>11</v>
      </c>
      <c r="B14" s="255" t="s">
        <v>1174</v>
      </c>
      <c r="C14" s="15">
        <f>'B322'!G$8</f>
        <v>9</v>
      </c>
      <c r="D14" s="28"/>
    </row>
    <row r="15" spans="1:5" ht="19.8">
      <c r="A15" s="51">
        <v>12</v>
      </c>
      <c r="B15" s="255" t="s">
        <v>1175</v>
      </c>
      <c r="C15" s="15">
        <f>'B322'!H$8</f>
        <v>12</v>
      </c>
      <c r="D15" s="28"/>
    </row>
    <row r="16" spans="1:5" ht="19.8">
      <c r="A16" s="51">
        <v>13</v>
      </c>
      <c r="B16" s="255" t="s">
        <v>1176</v>
      </c>
      <c r="C16" s="15">
        <f>'B322'!I$8</f>
        <v>12</v>
      </c>
      <c r="D16" s="28"/>
    </row>
    <row r="17" spans="1:4" ht="19.8">
      <c r="A17" s="51">
        <v>14</v>
      </c>
      <c r="B17" s="255" t="s">
        <v>1177</v>
      </c>
      <c r="C17" s="15">
        <f>'B322'!J$8</f>
        <v>12</v>
      </c>
      <c r="D17" s="28"/>
    </row>
    <row r="18" spans="1:4" ht="19.8">
      <c r="A18" s="51">
        <v>15</v>
      </c>
      <c r="B18" s="259" t="s">
        <v>1163</v>
      </c>
      <c r="C18" s="15">
        <f>'B321'!D11</f>
        <v>526</v>
      </c>
    </row>
    <row r="19" spans="1:4" ht="19.8">
      <c r="A19" s="51">
        <v>16</v>
      </c>
      <c r="B19" s="259" t="s">
        <v>1168</v>
      </c>
      <c r="C19" s="15">
        <v>200</v>
      </c>
    </row>
  </sheetData>
  <mergeCells count="1">
    <mergeCell ref="A1:B1"/>
  </mergeCells>
  <phoneticPr fontId="1"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G6" sqref="G6"/>
    </sheetView>
  </sheetViews>
  <sheetFormatPr defaultRowHeight="16.2"/>
  <cols>
    <col min="1" max="1" width="10.33203125" customWidth="1"/>
    <col min="2" max="2" width="16" customWidth="1"/>
    <col min="3" max="3" width="10" bestFit="1" customWidth="1"/>
    <col min="4" max="4" width="11.88671875" bestFit="1" customWidth="1"/>
    <col min="5" max="5" width="18" customWidth="1"/>
    <col min="6" max="6" width="13.88671875" customWidth="1"/>
    <col min="7" max="8" width="16.77734375" bestFit="1" customWidth="1"/>
    <col min="9" max="9" width="11.88671875" bestFit="1" customWidth="1"/>
    <col min="10" max="10" width="16.77734375" bestFit="1" customWidth="1"/>
    <col min="11" max="11" width="18.6640625" customWidth="1"/>
  </cols>
  <sheetData>
    <row r="1" spans="1:12" ht="22.2">
      <c r="A1" s="310" t="s">
        <v>1005</v>
      </c>
      <c r="B1" s="310"/>
      <c r="C1" s="87"/>
      <c r="D1" s="87"/>
    </row>
    <row r="2" spans="1:12" ht="22.2">
      <c r="A2" s="87"/>
      <c r="B2" s="87"/>
      <c r="C2" s="87"/>
      <c r="D2" s="87"/>
    </row>
    <row r="3" spans="1:12" ht="19.8">
      <c r="A3" s="295" t="s">
        <v>80</v>
      </c>
      <c r="B3" s="296"/>
      <c r="C3" s="297"/>
      <c r="D3" s="314" t="s">
        <v>81</v>
      </c>
      <c r="E3" s="314"/>
      <c r="F3" s="314"/>
    </row>
    <row r="4" spans="1:12" ht="19.8">
      <c r="A4" s="234" t="s">
        <v>1165</v>
      </c>
      <c r="B4" s="234" t="s">
        <v>1166</v>
      </c>
      <c r="C4" s="234" t="s">
        <v>82</v>
      </c>
      <c r="D4" s="234" t="s">
        <v>1165</v>
      </c>
      <c r="E4" s="234" t="s">
        <v>1166</v>
      </c>
      <c r="F4" s="234" t="s">
        <v>83</v>
      </c>
    </row>
    <row r="5" spans="1:12" ht="19.8">
      <c r="A5" s="15">
        <f>'B41'!C4</f>
        <v>25</v>
      </c>
      <c r="B5" s="15">
        <f>'B41'!C5</f>
        <v>104</v>
      </c>
      <c r="C5" s="91" t="str">
        <f>'B11'!C13</f>
        <v>北</v>
      </c>
      <c r="D5" s="15">
        <f>'B41'!C9</f>
        <v>22.6</v>
      </c>
      <c r="E5" s="15">
        <f>'B41'!C10</f>
        <v>102</v>
      </c>
      <c r="F5" s="91" t="str">
        <f>'B11'!C13</f>
        <v>北</v>
      </c>
    </row>
    <row r="6" spans="1:12" ht="19.8">
      <c r="A6" s="295" t="s">
        <v>79</v>
      </c>
      <c r="B6" s="296"/>
      <c r="C6" s="297"/>
      <c r="D6" s="366" t="s">
        <v>1178</v>
      </c>
      <c r="E6" s="366"/>
      <c r="F6" s="262" t="s">
        <v>1173</v>
      </c>
    </row>
    <row r="7" spans="1:12" ht="19.8">
      <c r="A7" s="91" t="str">
        <f>'B41'!C7</f>
        <v>小番茄</v>
      </c>
      <c r="B7" s="91">
        <f>'B41'!D7</f>
        <v>0</v>
      </c>
      <c r="C7" s="234"/>
      <c r="D7" s="367">
        <f>'B41'!C11*'B41'!C19/1000/24/60*1000</f>
        <v>320.16666666666674</v>
      </c>
      <c r="E7" s="368"/>
      <c r="F7" s="265">
        <f>'B11'!C37</f>
        <v>3</v>
      </c>
    </row>
    <row r="8" spans="1:12" ht="19.8">
      <c r="A8" s="32"/>
      <c r="B8" s="32"/>
      <c r="C8" s="260"/>
      <c r="D8" s="260"/>
      <c r="E8" s="260"/>
      <c r="F8" s="260"/>
    </row>
    <row r="9" spans="1:12" ht="22.2">
      <c r="A9" s="295" t="s">
        <v>476</v>
      </c>
      <c r="B9" s="296"/>
      <c r="C9" s="296"/>
      <c r="D9" s="297"/>
      <c r="E9" s="341" t="s">
        <v>1148</v>
      </c>
      <c r="F9" s="341"/>
      <c r="G9" s="341"/>
      <c r="H9" s="341"/>
      <c r="I9" s="341"/>
      <c r="J9" s="239" t="s">
        <v>1164</v>
      </c>
      <c r="K9" s="264" t="s">
        <v>1179</v>
      </c>
    </row>
    <row r="10" spans="1:12" ht="19.8">
      <c r="A10" s="84" t="s">
        <v>74</v>
      </c>
      <c r="B10" s="84" t="s">
        <v>86</v>
      </c>
      <c r="C10" s="84" t="s">
        <v>87</v>
      </c>
      <c r="D10" s="84" t="s">
        <v>78</v>
      </c>
      <c r="E10" s="256" t="str">
        <f>IF('B322'!$K$8&lt;=12,"A型簡易溫室",0)</f>
        <v>A型簡易溫室</v>
      </c>
      <c r="F10" s="256">
        <f>IF('B322'!$K$8&lt;=11,"B型簡易溫室",0)</f>
        <v>0</v>
      </c>
      <c r="G10" s="256">
        <f>IF('B322'!$K$8&lt;=10,"B型簡易溫室",0)</f>
        <v>0</v>
      </c>
      <c r="H10" s="256" t="str">
        <f>IF('B322'!$K$8&lt;=13,"圓頂力霸型室",0)</f>
        <v>圓頂力霸型室</v>
      </c>
      <c r="I10" s="256" t="str">
        <f>IF('B322'!$K$8&lt;=17,"精密溫室",0)</f>
        <v>精密溫室</v>
      </c>
      <c r="J10" s="123">
        <f>INT((D5*100)/'B11'!$C$31)+1</f>
        <v>5</v>
      </c>
      <c r="K10" s="123">
        <f>((PI()*(F7*25.4/2)^2)/1000000)*1.5*2*J10*1000*60*0.2</f>
        <v>820.86611613794616</v>
      </c>
    </row>
    <row r="11" spans="1:12" ht="17.399999999999999">
      <c r="A11" s="15">
        <f>'B322'!G8</f>
        <v>9</v>
      </c>
      <c r="B11" s="15">
        <f>'B322'!H8</f>
        <v>12</v>
      </c>
      <c r="C11" s="15">
        <f>'B322'!I8</f>
        <v>12</v>
      </c>
      <c r="D11" s="15">
        <f>'B322'!J8</f>
        <v>12</v>
      </c>
      <c r="E11" s="16"/>
      <c r="F11" s="16"/>
    </row>
    <row r="12" spans="1:12" ht="22.2">
      <c r="A12" s="87"/>
      <c r="B12" s="87"/>
      <c r="C12" s="16"/>
      <c r="D12" s="16"/>
      <c r="E12" s="16"/>
      <c r="F12" s="16"/>
    </row>
    <row r="13" spans="1:12" ht="38.25" customHeight="1">
      <c r="A13" s="85" t="s">
        <v>477</v>
      </c>
      <c r="B13" s="295" t="s">
        <v>474</v>
      </c>
      <c r="C13" s="297"/>
      <c r="D13" s="96" t="s">
        <v>478</v>
      </c>
      <c r="E13" s="96" t="s">
        <v>645</v>
      </c>
      <c r="F13" s="96" t="s">
        <v>643</v>
      </c>
      <c r="G13" s="96" t="s">
        <v>480</v>
      </c>
      <c r="H13" s="96" t="s">
        <v>393</v>
      </c>
      <c r="I13" s="96" t="s">
        <v>644</v>
      </c>
      <c r="J13" s="84" t="s">
        <v>482</v>
      </c>
      <c r="K13" s="137" t="s">
        <v>483</v>
      </c>
      <c r="L13" s="84" t="s">
        <v>484</v>
      </c>
    </row>
    <row r="14" spans="1:12" ht="19.8">
      <c r="A14" s="174" t="s">
        <v>811</v>
      </c>
      <c r="B14" s="364" t="s">
        <v>1149</v>
      </c>
      <c r="C14" s="365"/>
      <c r="D14" s="66" t="s">
        <v>646</v>
      </c>
      <c r="E14" s="143">
        <f>'B11'!$C$30</f>
        <v>550</v>
      </c>
      <c r="F14" s="66">
        <v>240</v>
      </c>
      <c r="G14" s="66">
        <f>E14-F14</f>
        <v>310</v>
      </c>
      <c r="H14" s="66" t="s">
        <v>640</v>
      </c>
      <c r="I14" s="143">
        <f>'B11'!$C$31</f>
        <v>565</v>
      </c>
      <c r="J14" s="97">
        <v>100</v>
      </c>
      <c r="K14" s="138">
        <f>J14-INT((MAX($A$11:$D$11)-11)/2)*50</f>
        <v>100</v>
      </c>
      <c r="L14" s="97">
        <f t="shared" ref="L14:L16" si="0">INT($D$5*100/I14)</f>
        <v>4</v>
      </c>
    </row>
    <row r="15" spans="1:12" ht="19.8">
      <c r="A15" s="174" t="s">
        <v>812</v>
      </c>
      <c r="B15" s="364" t="s">
        <v>804</v>
      </c>
      <c r="C15" s="365"/>
      <c r="D15" s="66" t="s">
        <v>646</v>
      </c>
      <c r="E15" s="143">
        <f>'B11'!$C$30</f>
        <v>550</v>
      </c>
      <c r="F15" s="66">
        <v>240</v>
      </c>
      <c r="G15" s="66">
        <f t="shared" ref="G15:G16" si="1">E15-F15</f>
        <v>310</v>
      </c>
      <c r="H15" s="66" t="s">
        <v>641</v>
      </c>
      <c r="I15" s="143">
        <f>'B11'!$C$31</f>
        <v>565</v>
      </c>
      <c r="J15" s="97">
        <v>100</v>
      </c>
      <c r="K15" s="138">
        <f t="shared" ref="K15:K16" si="2">J15-INT((MAX($A$11:$D$11)-11)/2)*50</f>
        <v>100</v>
      </c>
      <c r="L15" s="97">
        <f t="shared" si="0"/>
        <v>4</v>
      </c>
    </row>
    <row r="16" spans="1:12" ht="19.8">
      <c r="A16" s="174" t="s">
        <v>813</v>
      </c>
      <c r="B16" s="364" t="s">
        <v>805</v>
      </c>
      <c r="C16" s="365"/>
      <c r="D16" s="66" t="s">
        <v>646</v>
      </c>
      <c r="E16" s="143">
        <f>'B11'!$C$30</f>
        <v>550</v>
      </c>
      <c r="F16" s="66">
        <v>240</v>
      </c>
      <c r="G16" s="66">
        <f t="shared" si="1"/>
        <v>310</v>
      </c>
      <c r="H16" s="66" t="s">
        <v>642</v>
      </c>
      <c r="I16" s="143">
        <f>'B11'!$C$31</f>
        <v>565</v>
      </c>
      <c r="J16" s="97">
        <v>100</v>
      </c>
      <c r="K16" s="138">
        <f t="shared" si="2"/>
        <v>100</v>
      </c>
      <c r="L16" s="97">
        <f t="shared" si="0"/>
        <v>4</v>
      </c>
    </row>
    <row r="17" spans="1:12" ht="19.8">
      <c r="A17" s="174" t="s">
        <v>814</v>
      </c>
      <c r="B17" s="364" t="s">
        <v>1151</v>
      </c>
      <c r="C17" s="365"/>
      <c r="D17" s="66">
        <v>550</v>
      </c>
      <c r="E17" s="143">
        <f>'B11'!$C$30</f>
        <v>550</v>
      </c>
      <c r="F17" s="66">
        <v>400</v>
      </c>
      <c r="G17" s="66">
        <f>E17-F17</f>
        <v>150</v>
      </c>
      <c r="H17" s="66">
        <v>600</v>
      </c>
      <c r="I17" s="143">
        <f>'B11'!C31</f>
        <v>565</v>
      </c>
      <c r="J17" s="97">
        <v>400</v>
      </c>
      <c r="K17" s="138">
        <f>J17-INT((MAX($A$11:$D$11)-11)/2)*100</f>
        <v>400</v>
      </c>
      <c r="L17" s="97">
        <f>INT($D$5*100/I17)</f>
        <v>4</v>
      </c>
    </row>
    <row r="18" spans="1:12" ht="19.8">
      <c r="A18" s="174" t="s">
        <v>815</v>
      </c>
      <c r="B18" s="364" t="s">
        <v>1152</v>
      </c>
      <c r="C18" s="365"/>
      <c r="D18" s="66"/>
      <c r="E18" s="143"/>
      <c r="F18" s="66"/>
      <c r="G18" s="66"/>
      <c r="H18" s="66"/>
      <c r="I18" s="66"/>
      <c r="J18" s="97"/>
      <c r="K18" s="138"/>
      <c r="L18" s="97"/>
    </row>
    <row r="19" spans="1:12" ht="22.2">
      <c r="A19" s="87"/>
      <c r="B19" s="87"/>
      <c r="C19" s="16"/>
      <c r="D19" s="16"/>
      <c r="E19" s="16"/>
      <c r="F19" s="16"/>
    </row>
  </sheetData>
  <mergeCells count="14">
    <mergeCell ref="A1:B1"/>
    <mergeCell ref="A3:C3"/>
    <mergeCell ref="D3:F3"/>
    <mergeCell ref="B18:C18"/>
    <mergeCell ref="B16:C16"/>
    <mergeCell ref="A6:C6"/>
    <mergeCell ref="A9:D9"/>
    <mergeCell ref="B13:C13"/>
    <mergeCell ref="B17:C17"/>
    <mergeCell ref="B14:C14"/>
    <mergeCell ref="B15:C15"/>
    <mergeCell ref="D6:E6"/>
    <mergeCell ref="D7:E7"/>
    <mergeCell ref="E9:I9"/>
  </mergeCells>
  <phoneticPr fontId="1" type="noConversion"/>
  <pageMargins left="0.7" right="0.7" top="0.75" bottom="0.75" header="0.3" footer="0.3"/>
  <pageSetup paperSize="9" orientation="portrait" horizontalDpi="1200" verticalDpi="1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zoomScaleNormal="100" workbookViewId="0">
      <selection sqref="A1:B1"/>
    </sheetView>
  </sheetViews>
  <sheetFormatPr defaultRowHeight="16.2"/>
  <cols>
    <col min="1" max="1" width="6.77734375" bestFit="1" customWidth="1"/>
    <col min="2" max="2" width="20.21875" bestFit="1" customWidth="1"/>
    <col min="3" max="3" width="14.6640625" bestFit="1" customWidth="1"/>
    <col min="4" max="4" width="20.21875" bestFit="1" customWidth="1"/>
    <col min="5" max="5" width="14.6640625" bestFit="1" customWidth="1"/>
  </cols>
  <sheetData>
    <row r="1" spans="1:9" ht="22.2">
      <c r="A1" s="321" t="s">
        <v>1004</v>
      </c>
      <c r="B1" s="321"/>
      <c r="C1" s="176"/>
    </row>
    <row r="2" spans="1:9" ht="22.2">
      <c r="A2" s="176"/>
      <c r="B2" s="176"/>
      <c r="C2" s="176"/>
    </row>
    <row r="3" spans="1:9" ht="22.2">
      <c r="A3" s="196"/>
      <c r="B3" s="369" t="s">
        <v>1226</v>
      </c>
      <c r="C3" s="370"/>
      <c r="D3" s="314" t="s">
        <v>81</v>
      </c>
      <c r="E3" s="314"/>
      <c r="F3" s="314"/>
    </row>
    <row r="4" spans="1:9" ht="22.2">
      <c r="A4" s="196"/>
      <c r="B4" s="264" t="s">
        <v>1224</v>
      </c>
      <c r="C4" s="105" t="s">
        <v>1227</v>
      </c>
      <c r="D4" s="261" t="s">
        <v>1113</v>
      </c>
      <c r="E4" s="261" t="s">
        <v>560</v>
      </c>
      <c r="F4" s="261" t="s">
        <v>83</v>
      </c>
    </row>
    <row r="5" spans="1:9" ht="22.2">
      <c r="A5" s="196"/>
      <c r="B5" s="261" t="s">
        <v>1228</v>
      </c>
      <c r="C5" s="261" t="s">
        <v>761</v>
      </c>
      <c r="D5" s="15">
        <f>'B41'!C9</f>
        <v>22.6</v>
      </c>
      <c r="E5" s="15">
        <f>'B41'!C10</f>
        <v>102</v>
      </c>
      <c r="F5" s="91" t="str">
        <f>'B11'!C13</f>
        <v>北</v>
      </c>
    </row>
    <row r="6" spans="1:9" ht="22.2">
      <c r="A6" s="196"/>
      <c r="B6" s="196"/>
      <c r="C6" s="196"/>
    </row>
    <row r="7" spans="1:9" ht="19.8">
      <c r="B7" s="28" t="s">
        <v>863</v>
      </c>
      <c r="D7" s="28" t="s">
        <v>865</v>
      </c>
      <c r="I7" s="30" t="s">
        <v>1278</v>
      </c>
    </row>
    <row r="19" spans="2:9" ht="19.8">
      <c r="D19" s="28" t="s">
        <v>866</v>
      </c>
    </row>
    <row r="20" spans="2:9" ht="19.8">
      <c r="I20" s="30" t="s">
        <v>1277</v>
      </c>
    </row>
    <row r="26" spans="2:9" ht="19.8">
      <c r="B26" s="28"/>
    </row>
    <row r="31" spans="2:9" ht="19.8">
      <c r="B31" s="28" t="s">
        <v>864</v>
      </c>
    </row>
    <row r="48" spans="2:2" ht="19.8">
      <c r="B48" s="105" t="s">
        <v>1149</v>
      </c>
    </row>
    <row r="49" spans="2:2" ht="19.8">
      <c r="B49" s="105" t="s">
        <v>1225</v>
      </c>
    </row>
    <row r="50" spans="2:2" ht="19.8">
      <c r="B50" s="105" t="s">
        <v>805</v>
      </c>
    </row>
    <row r="51" spans="2:2" ht="19.8">
      <c r="B51" s="105" t="s">
        <v>1151</v>
      </c>
    </row>
    <row r="52" spans="2:2" ht="19.8">
      <c r="B52" s="105" t="s">
        <v>1152</v>
      </c>
    </row>
  </sheetData>
  <mergeCells count="3">
    <mergeCell ref="D3:F3"/>
    <mergeCell ref="B3:C3"/>
    <mergeCell ref="A1:B1"/>
  </mergeCells>
  <phoneticPr fontId="1" type="noConversion"/>
  <dataValidations count="2">
    <dataValidation type="list" allowBlank="1" showInputMessage="1" showErrorMessage="1" sqref="B5">
      <formula1>$B$48:$B$52</formula1>
    </dataValidation>
    <dataValidation type="list" allowBlank="1" showInputMessage="1" showErrorMessage="1" sqref="C5">
      <formula1>"有,無"</formula1>
    </dataValidation>
  </dataValidations>
  <pageMargins left="0.7" right="0.7" top="0.75" bottom="0.75" header="0.3" footer="0.3"/>
  <pageSetup paperSize="9" orientation="portrait" horizontalDpi="1200" verticalDpi="12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sqref="A1:B1"/>
    </sheetView>
  </sheetViews>
  <sheetFormatPr defaultRowHeight="16.2"/>
  <cols>
    <col min="1" max="1" width="10.33203125" customWidth="1"/>
    <col min="2" max="2" width="22" bestFit="1" customWidth="1"/>
    <col min="3" max="3" width="16.109375" bestFit="1" customWidth="1"/>
    <col min="4" max="4" width="17.44140625" bestFit="1" customWidth="1"/>
    <col min="5" max="6" width="11.88671875" bestFit="1" customWidth="1"/>
  </cols>
  <sheetData>
    <row r="1" spans="1:4" ht="22.2">
      <c r="A1" s="334" t="s">
        <v>1003</v>
      </c>
      <c r="B1" s="334"/>
      <c r="C1" s="166"/>
      <c r="D1" s="166"/>
    </row>
    <row r="2" spans="1:4" ht="22.2">
      <c r="A2" s="166"/>
      <c r="B2" s="166"/>
      <c r="C2" s="166"/>
      <c r="D2" s="166"/>
    </row>
    <row r="3" spans="1:4" ht="19.8">
      <c r="A3" s="50" t="s">
        <v>89</v>
      </c>
      <c r="B3" s="50" t="s">
        <v>247</v>
      </c>
    </row>
    <row r="4" spans="1:4" ht="19.8">
      <c r="A4" s="51" t="s">
        <v>798</v>
      </c>
      <c r="B4" s="40" t="s">
        <v>801</v>
      </c>
    </row>
    <row r="5" spans="1:4" ht="19.8">
      <c r="A5" s="51" t="s">
        <v>799</v>
      </c>
      <c r="B5" s="40" t="s">
        <v>802</v>
      </c>
    </row>
    <row r="6" spans="1:4" ht="19.8">
      <c r="A6" s="51" t="s">
        <v>800</v>
      </c>
      <c r="B6" s="40" t="s">
        <v>803</v>
      </c>
    </row>
  </sheetData>
  <mergeCells count="1">
    <mergeCell ref="A1:B1"/>
  </mergeCells>
  <phoneticPr fontId="1" type="noConversion"/>
  <hyperlinks>
    <hyperlink ref="B5" location="'B442'!A1" display="外部結構強化"/>
    <hyperlink ref="B6" location="'B443'!A1" display="破風結構強化"/>
    <hyperlink ref="B4" location="'B441'!A1" display="內部結構強化"/>
  </hyperlinks>
  <pageMargins left="0.7" right="0.7" top="0.75" bottom="0.75" header="0.3" footer="0.3"/>
  <pageSetup paperSize="9" orientation="portrait" horizontalDpi="1200" verticalDpi="12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workbookViewId="0">
      <selection activeCell="E10" sqref="E10"/>
    </sheetView>
  </sheetViews>
  <sheetFormatPr defaultRowHeight="16.2"/>
  <cols>
    <col min="1" max="1" width="17.44140625" bestFit="1" customWidth="1"/>
    <col min="2" max="2" width="27.77734375" customWidth="1"/>
    <col min="3" max="3" width="21.21875" bestFit="1" customWidth="1"/>
    <col min="4" max="4" width="15.33203125" bestFit="1" customWidth="1"/>
    <col min="5" max="5" width="8.44140625" customWidth="1"/>
    <col min="6" max="6" width="10.21875" customWidth="1"/>
  </cols>
  <sheetData>
    <row r="1" spans="1:11" ht="22.2">
      <c r="A1" s="217" t="s">
        <v>1002</v>
      </c>
    </row>
    <row r="2" spans="1:11" ht="19.8">
      <c r="A2" s="28"/>
    </row>
    <row r="3" spans="1:11" ht="19.8">
      <c r="A3" s="28"/>
      <c r="B3" s="109"/>
      <c r="C3" s="84" t="s">
        <v>74</v>
      </c>
      <c r="D3" s="84" t="s">
        <v>86</v>
      </c>
      <c r="E3" s="84" t="s">
        <v>87</v>
      </c>
      <c r="F3" s="86" t="s">
        <v>78</v>
      </c>
    </row>
    <row r="4" spans="1:11" ht="19.8">
      <c r="B4" s="39" t="s">
        <v>556</v>
      </c>
      <c r="C4" s="90">
        <f>'B322'!G$8</f>
        <v>9</v>
      </c>
      <c r="D4" s="90">
        <f>'B322'!H$8</f>
        <v>12</v>
      </c>
      <c r="E4" s="90">
        <f>'B322'!I$8</f>
        <v>12</v>
      </c>
      <c r="F4" s="90">
        <f>'B322'!J$8</f>
        <v>12</v>
      </c>
    </row>
    <row r="5" spans="1:11" ht="19.8">
      <c r="B5" s="39" t="s">
        <v>128</v>
      </c>
      <c r="C5" s="17" t="str">
        <f>'B11'!$C$13</f>
        <v>北</v>
      </c>
      <c r="D5" s="70"/>
      <c r="E5" s="70"/>
    </row>
    <row r="6" spans="1:11" ht="19.8">
      <c r="B6" s="39"/>
      <c r="C6" s="84" t="s">
        <v>74</v>
      </c>
      <c r="D6" s="84" t="s">
        <v>86</v>
      </c>
      <c r="E6" s="84" t="s">
        <v>87</v>
      </c>
      <c r="F6" s="86" t="s">
        <v>78</v>
      </c>
    </row>
    <row r="7" spans="1:11" ht="19.8">
      <c r="B7" s="39" t="s">
        <v>1153</v>
      </c>
      <c r="C7" s="66" t="str">
        <f>IF(C4-11&gt;0,"V","-")</f>
        <v>-</v>
      </c>
      <c r="D7" s="66" t="str">
        <f>IF(D4-11&gt;0,"V","-")</f>
        <v>V</v>
      </c>
      <c r="E7" s="66" t="str">
        <f>IF(E4-11&gt;0,"V","-")</f>
        <v>V</v>
      </c>
      <c r="F7" s="66" t="str">
        <f>IF(F4-11&gt;0,"V","-")</f>
        <v>V</v>
      </c>
    </row>
    <row r="8" spans="1:11" ht="19.8">
      <c r="B8" s="39" t="s">
        <v>129</v>
      </c>
      <c r="C8" s="110" t="s">
        <v>130</v>
      </c>
      <c r="D8" s="70"/>
      <c r="E8" s="70"/>
      <c r="K8" s="257" t="s">
        <v>135</v>
      </c>
    </row>
    <row r="9" spans="1:11" ht="19.8">
      <c r="B9" s="39" t="s">
        <v>131</v>
      </c>
      <c r="C9" s="110" t="s">
        <v>133</v>
      </c>
      <c r="D9" s="70"/>
      <c r="E9" s="70"/>
    </row>
    <row r="10" spans="1:11" ht="19.8">
      <c r="B10" s="39" t="s">
        <v>1167</v>
      </c>
      <c r="C10" s="123">
        <f>'B41'!C11*'B41'!C18/1000/24/60*1000</f>
        <v>842.03833333333341</v>
      </c>
      <c r="D10" s="70"/>
      <c r="E10" s="70"/>
    </row>
    <row r="11" spans="1:11" ht="19.8">
      <c r="B11" s="39" t="s">
        <v>1172</v>
      </c>
      <c r="C11" s="123">
        <f>'B42'!K10</f>
        <v>820.86611613794616</v>
      </c>
      <c r="D11" s="70"/>
      <c r="E11" s="70"/>
    </row>
    <row r="12" spans="1:11" ht="19.8">
      <c r="B12" s="39" t="s">
        <v>1170</v>
      </c>
      <c r="C12" s="240" t="s">
        <v>136</v>
      </c>
      <c r="D12" s="240" t="s">
        <v>1171</v>
      </c>
    </row>
    <row r="13" spans="1:11" ht="19.8">
      <c r="B13" s="39" t="s">
        <v>1169</v>
      </c>
      <c r="C13" s="66" t="str">
        <f>IF(C10-C11&gt;0,"V","-")</f>
        <v>V</v>
      </c>
      <c r="D13" s="66" t="str">
        <f>IF(C10-C11&gt;50,"V","-")</f>
        <v>-</v>
      </c>
    </row>
    <row r="20" spans="3:11">
      <c r="E20" s="92"/>
      <c r="G20" s="371" t="s">
        <v>134</v>
      </c>
      <c r="H20" s="371"/>
      <c r="I20" s="371"/>
      <c r="K20" s="38"/>
    </row>
    <row r="21" spans="3:11">
      <c r="F21" s="92"/>
    </row>
    <row r="22" spans="3:11">
      <c r="C22" s="18" t="s">
        <v>130</v>
      </c>
      <c r="D22" s="92" t="s">
        <v>132</v>
      </c>
    </row>
  </sheetData>
  <mergeCells count="1">
    <mergeCell ref="G20:I20"/>
  </mergeCells>
  <phoneticPr fontId="1"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selection activeCell="C4" sqref="C4"/>
    </sheetView>
  </sheetViews>
  <sheetFormatPr defaultRowHeight="16.2"/>
  <cols>
    <col min="1" max="1" width="26.109375" customWidth="1"/>
    <col min="2" max="2" width="23" bestFit="1" customWidth="1"/>
    <col min="3" max="3" width="21.21875" bestFit="1" customWidth="1"/>
    <col min="5" max="5" width="10.33203125" customWidth="1"/>
  </cols>
  <sheetData>
    <row r="1" spans="1:6" ht="22.2">
      <c r="A1" s="217" t="s">
        <v>1001</v>
      </c>
    </row>
    <row r="2" spans="1:6" ht="22.2">
      <c r="A2" s="211"/>
    </row>
    <row r="3" spans="1:6" ht="19.8">
      <c r="B3" s="109"/>
      <c r="C3" s="84" t="s">
        <v>74</v>
      </c>
      <c r="D3" s="84" t="s">
        <v>86</v>
      </c>
      <c r="E3" s="84" t="s">
        <v>87</v>
      </c>
      <c r="F3" s="86" t="s">
        <v>78</v>
      </c>
    </row>
    <row r="4" spans="1:6" ht="19.8">
      <c r="B4" s="39" t="s">
        <v>556</v>
      </c>
      <c r="C4" s="90">
        <f>'B322'!G$8</f>
        <v>9</v>
      </c>
      <c r="D4" s="90">
        <f>'B322'!H$8</f>
        <v>12</v>
      </c>
      <c r="E4" s="90">
        <f>'B322'!I$8</f>
        <v>12</v>
      </c>
      <c r="F4" s="90">
        <f>'B322'!J$8</f>
        <v>12</v>
      </c>
    </row>
    <row r="5" spans="1:6" ht="19.8">
      <c r="B5" s="39" t="s">
        <v>127</v>
      </c>
      <c r="C5" s="17" t="str">
        <f>'B11'!$C$13</f>
        <v>北</v>
      </c>
      <c r="D5" s="70"/>
      <c r="E5" s="70"/>
    </row>
    <row r="6" spans="1:6" ht="19.8">
      <c r="B6" s="39"/>
      <c r="C6" s="84" t="s">
        <v>74</v>
      </c>
      <c r="D6" s="84" t="s">
        <v>86</v>
      </c>
      <c r="E6" s="84" t="s">
        <v>87</v>
      </c>
      <c r="F6" s="86" t="s">
        <v>78</v>
      </c>
    </row>
    <row r="7" spans="1:6" ht="19.8">
      <c r="B7" s="39" t="s">
        <v>1154</v>
      </c>
      <c r="C7" s="66" t="str">
        <f>IF(C4-12&gt;0,"V","-")</f>
        <v>-</v>
      </c>
      <c r="D7" s="66" t="str">
        <f>IF(D4-12&gt;0,"V","-")</f>
        <v>-</v>
      </c>
      <c r="E7" s="66" t="str">
        <f>IF(E4-12&gt;0,"V","-")</f>
        <v>-</v>
      </c>
      <c r="F7" s="66" t="str">
        <f>IF(F4-12&gt;0,"V","-")</f>
        <v>-</v>
      </c>
    </row>
    <row r="8" spans="1:6" ht="19.8">
      <c r="B8" s="39" t="s">
        <v>137</v>
      </c>
      <c r="C8" s="110" t="s">
        <v>138</v>
      </c>
      <c r="D8" s="373"/>
      <c r="E8" s="373"/>
    </row>
    <row r="9" spans="1:6" ht="19.8">
      <c r="B9" s="39" t="s">
        <v>131</v>
      </c>
      <c r="C9" s="110" t="s">
        <v>139</v>
      </c>
      <c r="D9" s="374"/>
      <c r="E9" s="374"/>
    </row>
    <row r="10" spans="1:6" ht="18.75" customHeight="1">
      <c r="B10" s="28"/>
      <c r="C10" s="36"/>
      <c r="D10" s="372"/>
      <c r="E10" s="372"/>
    </row>
    <row r="19" spans="3:14">
      <c r="C19" s="18" t="s">
        <v>138</v>
      </c>
      <c r="D19" s="371" t="s">
        <v>139</v>
      </c>
      <c r="E19" s="371"/>
      <c r="F19" s="371"/>
    </row>
    <row r="20" spans="3:14">
      <c r="H20" s="371" t="s">
        <v>134</v>
      </c>
      <c r="I20" s="371"/>
      <c r="J20" s="371"/>
      <c r="L20" s="38"/>
      <c r="N20" s="38"/>
    </row>
  </sheetData>
  <mergeCells count="5">
    <mergeCell ref="D10:E10"/>
    <mergeCell ref="D19:F19"/>
    <mergeCell ref="H20:J20"/>
    <mergeCell ref="D8:E8"/>
    <mergeCell ref="D9:E9"/>
  </mergeCells>
  <phoneticPr fontId="1"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selection activeCell="F8" sqref="F8"/>
    </sheetView>
  </sheetViews>
  <sheetFormatPr defaultRowHeight="16.2"/>
  <cols>
    <col min="1" max="1" width="25.88671875" customWidth="1"/>
    <col min="2" max="2" width="23" bestFit="1" customWidth="1"/>
    <col min="3" max="3" width="25" bestFit="1" customWidth="1"/>
    <col min="4" max="4" width="10.77734375" customWidth="1"/>
    <col min="5" max="5" width="13.88671875" customWidth="1"/>
  </cols>
  <sheetData>
    <row r="1" spans="1:6" ht="22.2">
      <c r="A1" s="217" t="s">
        <v>1000</v>
      </c>
    </row>
    <row r="2" spans="1:6" ht="19.8">
      <c r="A2" s="28"/>
    </row>
    <row r="3" spans="1:6" ht="19.8">
      <c r="B3" s="109"/>
      <c r="C3" s="84" t="s">
        <v>74</v>
      </c>
      <c r="D3" s="84" t="s">
        <v>86</v>
      </c>
      <c r="E3" s="84" t="s">
        <v>87</v>
      </c>
      <c r="F3" s="86" t="s">
        <v>78</v>
      </c>
    </row>
    <row r="4" spans="1:6" ht="19.8">
      <c r="B4" s="39" t="s">
        <v>556</v>
      </c>
      <c r="C4" s="90">
        <f>'B322'!G$8</f>
        <v>9</v>
      </c>
      <c r="D4" s="90">
        <f>'B322'!H$8</f>
        <v>12</v>
      </c>
      <c r="E4" s="90">
        <f>'B322'!I$8</f>
        <v>12</v>
      </c>
      <c r="F4" s="90">
        <f>'B322'!J$8</f>
        <v>12</v>
      </c>
    </row>
    <row r="5" spans="1:6" ht="19.8">
      <c r="B5" s="39" t="s">
        <v>127</v>
      </c>
      <c r="C5" s="17" t="str">
        <f>'B11'!$C$13</f>
        <v>北</v>
      </c>
    </row>
    <row r="6" spans="1:6" ht="19.8">
      <c r="B6" s="39"/>
      <c r="C6" s="84" t="s">
        <v>74</v>
      </c>
      <c r="D6" s="84" t="s">
        <v>86</v>
      </c>
      <c r="E6" s="84" t="s">
        <v>87</v>
      </c>
      <c r="F6" s="86" t="s">
        <v>78</v>
      </c>
    </row>
    <row r="7" spans="1:6" ht="19.8">
      <c r="B7" s="39" t="s">
        <v>1155</v>
      </c>
      <c r="C7" s="66" t="str">
        <f>IF(C4-13&gt;0,"V","-")</f>
        <v>-</v>
      </c>
      <c r="D7" s="66" t="str">
        <f>IF(D4-13&gt;0,"V","-")</f>
        <v>-</v>
      </c>
      <c r="E7" s="66" t="str">
        <f>IF(E4-13&gt;0,"V","-")</f>
        <v>-</v>
      </c>
      <c r="F7" s="66" t="str">
        <f>IF(F4-13&gt;0,"V","-")</f>
        <v>-</v>
      </c>
    </row>
    <row r="8" spans="1:6" ht="19.8">
      <c r="B8" s="28" t="s">
        <v>142</v>
      </c>
      <c r="C8" s="36" t="s">
        <v>140</v>
      </c>
      <c r="D8" s="374" t="s">
        <v>145</v>
      </c>
      <c r="E8" s="374"/>
    </row>
    <row r="9" spans="1:6" ht="19.8">
      <c r="B9" s="28" t="s">
        <v>143</v>
      </c>
      <c r="C9" s="36" t="s">
        <v>141</v>
      </c>
      <c r="D9" s="374" t="s">
        <v>144</v>
      </c>
      <c r="E9" s="374"/>
    </row>
    <row r="10" spans="1:6" ht="19.8">
      <c r="B10" s="28"/>
      <c r="C10" s="36"/>
      <c r="D10" s="372"/>
      <c r="E10" s="372"/>
    </row>
    <row r="18" spans="3:14">
      <c r="K18" s="92" t="s">
        <v>148</v>
      </c>
      <c r="L18" s="37"/>
      <c r="M18" s="37"/>
    </row>
    <row r="19" spans="3:14">
      <c r="C19" s="18" t="s">
        <v>146</v>
      </c>
      <c r="D19" s="371" t="s">
        <v>147</v>
      </c>
      <c r="E19" s="371"/>
      <c r="F19" s="371"/>
      <c r="H19" s="371"/>
      <c r="I19" s="371"/>
      <c r="J19" s="371"/>
      <c r="L19" s="38"/>
      <c r="N19" s="38"/>
    </row>
    <row r="20" spans="3:14">
      <c r="C20" s="16"/>
    </row>
  </sheetData>
  <mergeCells count="5">
    <mergeCell ref="D8:E8"/>
    <mergeCell ref="D9:E9"/>
    <mergeCell ref="D10:E10"/>
    <mergeCell ref="D19:F19"/>
    <mergeCell ref="H19:J19"/>
  </mergeCells>
  <phoneticPr fontId="1" type="noConversion"/>
  <pageMargins left="0.7" right="0.7" top="0.75" bottom="0.75" header="0.3" footer="0.3"/>
  <pageSetup paperSize="9" orientation="portrait"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2"/>
  <sheetViews>
    <sheetView workbookViewId="0">
      <selection sqref="A1:B1"/>
    </sheetView>
  </sheetViews>
  <sheetFormatPr defaultRowHeight="16.2"/>
  <cols>
    <col min="1" max="1" width="14.44140625" customWidth="1"/>
    <col min="2" max="2" width="17.44140625" bestFit="1" customWidth="1"/>
    <col min="3" max="3" width="34.21875" customWidth="1"/>
    <col min="4" max="5" width="18.21875" bestFit="1" customWidth="1"/>
    <col min="6" max="6" width="20.21875" bestFit="1" customWidth="1"/>
    <col min="7" max="7" width="19.6640625" bestFit="1" customWidth="1"/>
    <col min="8" max="8" width="19.21875" customWidth="1"/>
    <col min="9" max="9" width="16.88671875" bestFit="1" customWidth="1"/>
  </cols>
  <sheetData>
    <row r="1" spans="1:9" ht="22.2">
      <c r="A1" s="321" t="s">
        <v>999</v>
      </c>
      <c r="B1" s="321"/>
      <c r="C1" s="168"/>
      <c r="D1" s="166"/>
    </row>
    <row r="2" spans="1:9" ht="17.25" customHeight="1">
      <c r="A2" s="166"/>
      <c r="B2" s="166"/>
      <c r="C2" s="166"/>
      <c r="D2" s="234" t="s">
        <v>303</v>
      </c>
      <c r="E2" s="234" t="s">
        <v>729</v>
      </c>
    </row>
    <row r="3" spans="1:9" ht="17.25" customHeight="1">
      <c r="A3" s="52"/>
      <c r="B3" s="253"/>
      <c r="C3" s="196"/>
      <c r="D3" s="91" t="str">
        <f>'B11'!C6</f>
        <v>嘉義縣</v>
      </c>
      <c r="E3" s="91" t="str">
        <f>'B11'!C10</f>
        <v>平原</v>
      </c>
    </row>
    <row r="4" spans="1:9" s="32" customFormat="1" ht="17.25" customHeight="1">
      <c r="A4" s="249" t="s">
        <v>717</v>
      </c>
      <c r="B4" s="249" t="s">
        <v>716</v>
      </c>
      <c r="C4" s="165" t="s">
        <v>710</v>
      </c>
      <c r="D4" s="241" t="s">
        <v>707</v>
      </c>
      <c r="E4" s="241" t="s">
        <v>706</v>
      </c>
      <c r="F4" s="241" t="s">
        <v>1135</v>
      </c>
      <c r="G4" s="243" t="s">
        <v>736</v>
      </c>
      <c r="H4" s="243" t="s">
        <v>737</v>
      </c>
      <c r="I4" s="243" t="s">
        <v>738</v>
      </c>
    </row>
    <row r="5" spans="1:9" s="32" customFormat="1" ht="17.25" customHeight="1">
      <c r="A5" s="247" t="s">
        <v>704</v>
      </c>
      <c r="B5" s="250" t="s">
        <v>711</v>
      </c>
      <c r="C5" s="165" t="s">
        <v>724</v>
      </c>
      <c r="D5" s="252">
        <f>IF($C$63=1,1,0)</f>
        <v>0</v>
      </c>
      <c r="E5" s="252">
        <f>IF($F$63=1,1,0)</f>
        <v>0</v>
      </c>
      <c r="F5" s="252">
        <f>IF($C$92=1,"V",0)</f>
        <v>0</v>
      </c>
      <c r="G5" s="248">
        <v>1</v>
      </c>
      <c r="H5" s="248">
        <v>30</v>
      </c>
      <c r="I5" s="248">
        <v>0</v>
      </c>
    </row>
    <row r="6" spans="1:9" s="32" customFormat="1" ht="19.8">
      <c r="A6" s="247" t="s">
        <v>705</v>
      </c>
      <c r="B6" s="250" t="s">
        <v>712</v>
      </c>
      <c r="C6" s="165" t="s">
        <v>723</v>
      </c>
      <c r="D6" s="252">
        <f>IF($C$63=2,1,0)</f>
        <v>0</v>
      </c>
      <c r="E6" s="252">
        <f>IF($F$63=2,1,0)</f>
        <v>0</v>
      </c>
      <c r="F6" s="252">
        <f>IF($C$92=2,"V",0)</f>
        <v>0</v>
      </c>
      <c r="G6" s="248">
        <v>2</v>
      </c>
      <c r="H6" s="248">
        <v>35</v>
      </c>
      <c r="I6" s="248">
        <v>0</v>
      </c>
    </row>
    <row r="7" spans="1:9" s="32" customFormat="1" ht="39.6">
      <c r="A7" s="247" t="s">
        <v>663</v>
      </c>
      <c r="B7" s="250" t="s">
        <v>713</v>
      </c>
      <c r="C7" s="77" t="s">
        <v>720</v>
      </c>
      <c r="D7" s="252" t="str">
        <f>IF($C$63=3,"V",0)</f>
        <v>V</v>
      </c>
      <c r="E7" s="252">
        <f>IF($F$63=3,1,0)</f>
        <v>0</v>
      </c>
      <c r="F7" s="252">
        <f>IF($C$92=3,"V",0)</f>
        <v>0</v>
      </c>
      <c r="G7" s="248">
        <v>3</v>
      </c>
      <c r="H7" s="248">
        <v>45</v>
      </c>
      <c r="I7" s="248">
        <v>100</v>
      </c>
    </row>
    <row r="8" spans="1:9" s="32" customFormat="1" ht="99">
      <c r="A8" s="247" t="s">
        <v>664</v>
      </c>
      <c r="B8" s="250" t="s">
        <v>714</v>
      </c>
      <c r="C8" s="77" t="s">
        <v>721</v>
      </c>
      <c r="D8" s="252">
        <f>IF($C$63=4,1,0)</f>
        <v>0</v>
      </c>
      <c r="E8" s="252" t="str">
        <f>IF($F$63=4,"V",0)</f>
        <v>V</v>
      </c>
      <c r="F8" s="252" t="str">
        <f>IF($C$92=4,"V",0)</f>
        <v>V</v>
      </c>
      <c r="G8" s="248">
        <v>4</v>
      </c>
      <c r="H8" s="248">
        <v>50</v>
      </c>
      <c r="I8" s="248">
        <v>200</v>
      </c>
    </row>
    <row r="9" spans="1:9" s="32" customFormat="1" ht="17.25" customHeight="1">
      <c r="A9" s="247" t="s">
        <v>665</v>
      </c>
      <c r="B9" s="250" t="s">
        <v>715</v>
      </c>
      <c r="C9" s="165" t="s">
        <v>719</v>
      </c>
      <c r="D9" s="252">
        <f>IF($C$63=5,1,0)</f>
        <v>0</v>
      </c>
      <c r="E9" s="252">
        <f>IF($F$63=5,1,0)</f>
        <v>0</v>
      </c>
      <c r="F9" s="252">
        <f>IF($C$92=5,"V",0)</f>
        <v>0</v>
      </c>
      <c r="G9" s="248">
        <v>5</v>
      </c>
      <c r="H9" s="248">
        <v>55</v>
      </c>
      <c r="I9" s="248">
        <v>300</v>
      </c>
    </row>
    <row r="10" spans="1:9" s="32" customFormat="1" ht="50.25" customHeight="1">
      <c r="A10" s="353" t="s">
        <v>718</v>
      </c>
      <c r="B10" s="354"/>
      <c r="C10" s="354"/>
      <c r="D10" s="354"/>
      <c r="E10" s="355"/>
      <c r="F10" s="237"/>
      <c r="G10" s="248">
        <v>6</v>
      </c>
      <c r="H10" s="248">
        <v>60</v>
      </c>
      <c r="I10" s="248">
        <v>400</v>
      </c>
    </row>
    <row r="11" spans="1:9" ht="17.25" customHeight="1">
      <c r="A11" s="166"/>
      <c r="B11" s="166"/>
      <c r="C11" s="166"/>
      <c r="D11" s="166"/>
      <c r="G11" s="150"/>
    </row>
    <row r="12" spans="1:9" ht="22.2">
      <c r="B12" s="166"/>
      <c r="C12" s="28" t="s">
        <v>708</v>
      </c>
      <c r="D12" s="166"/>
      <c r="G12" s="151"/>
    </row>
    <row r="13" spans="1:9" ht="19.8">
      <c r="A13" s="357" t="s">
        <v>717</v>
      </c>
      <c r="B13" s="340" t="s">
        <v>703</v>
      </c>
      <c r="C13" s="356"/>
      <c r="D13" s="356"/>
      <c r="E13" s="356"/>
      <c r="F13" s="356"/>
      <c r="G13" s="151"/>
    </row>
    <row r="14" spans="1:9" ht="19.8">
      <c r="A14" s="358"/>
      <c r="B14" s="173" t="s">
        <v>698</v>
      </c>
      <c r="C14" s="173" t="s">
        <v>699</v>
      </c>
      <c r="D14" s="173" t="s">
        <v>700</v>
      </c>
      <c r="E14" s="173" t="s">
        <v>701</v>
      </c>
      <c r="F14" s="173" t="s">
        <v>702</v>
      </c>
      <c r="G14" s="150"/>
    </row>
    <row r="15" spans="1:9" ht="20.399999999999999">
      <c r="A15" s="356" t="s">
        <v>658</v>
      </c>
      <c r="B15" s="173" t="s">
        <v>709</v>
      </c>
      <c r="C15" s="173" t="s">
        <v>666</v>
      </c>
      <c r="D15" s="173" t="s">
        <v>667</v>
      </c>
      <c r="E15" s="173" t="s">
        <v>668</v>
      </c>
      <c r="F15" s="149" t="s">
        <v>660</v>
      </c>
      <c r="G15" s="151"/>
    </row>
    <row r="16" spans="1:9" ht="19.8">
      <c r="A16" s="356"/>
      <c r="B16" s="173" t="s">
        <v>659</v>
      </c>
      <c r="C16" s="173" t="s">
        <v>669</v>
      </c>
      <c r="D16" s="173" t="s">
        <v>670</v>
      </c>
      <c r="E16" s="173" t="s">
        <v>670</v>
      </c>
      <c r="F16" s="149" t="s">
        <v>661</v>
      </c>
      <c r="G16" s="150"/>
    </row>
    <row r="17" spans="1:7" ht="20.399999999999999">
      <c r="A17" s="356" t="s">
        <v>662</v>
      </c>
      <c r="B17" s="173" t="s">
        <v>709</v>
      </c>
      <c r="C17" s="173" t="s">
        <v>671</v>
      </c>
      <c r="D17" s="173" t="s">
        <v>672</v>
      </c>
      <c r="E17" s="173" t="s">
        <v>673</v>
      </c>
      <c r="F17" s="173" t="s">
        <v>674</v>
      </c>
      <c r="G17" s="151"/>
    </row>
    <row r="18" spans="1:7" ht="19.8">
      <c r="A18" s="356"/>
      <c r="B18" s="173" t="s">
        <v>659</v>
      </c>
      <c r="C18" s="173" t="s">
        <v>675</v>
      </c>
      <c r="D18" s="173" t="s">
        <v>676</v>
      </c>
      <c r="E18" s="173" t="s">
        <v>677</v>
      </c>
      <c r="F18" s="149" t="s">
        <v>661</v>
      </c>
      <c r="G18" s="150"/>
    </row>
    <row r="19" spans="1:7" ht="20.399999999999999">
      <c r="A19" s="356" t="s">
        <v>663</v>
      </c>
      <c r="B19" s="173" t="s">
        <v>709</v>
      </c>
      <c r="C19" s="173" t="s">
        <v>678</v>
      </c>
      <c r="D19" s="173" t="s">
        <v>679</v>
      </c>
      <c r="E19" s="173" t="s">
        <v>680</v>
      </c>
      <c r="F19" s="173" t="s">
        <v>681</v>
      </c>
      <c r="G19" s="151"/>
    </row>
    <row r="20" spans="1:7" ht="19.8">
      <c r="A20" s="356"/>
      <c r="B20" s="173" t="s">
        <v>659</v>
      </c>
      <c r="C20" s="173" t="s">
        <v>682</v>
      </c>
      <c r="D20" s="173" t="s">
        <v>683</v>
      </c>
      <c r="E20" s="173" t="s">
        <v>684</v>
      </c>
      <c r="F20" s="149" t="s">
        <v>661</v>
      </c>
      <c r="G20" s="150"/>
    </row>
    <row r="21" spans="1:7" ht="20.399999999999999">
      <c r="A21" s="356" t="s">
        <v>664</v>
      </c>
      <c r="B21" s="173" t="s">
        <v>709</v>
      </c>
      <c r="C21" s="173" t="s">
        <v>685</v>
      </c>
      <c r="D21" s="173" t="s">
        <v>686</v>
      </c>
      <c r="E21" s="173" t="s">
        <v>687</v>
      </c>
      <c r="F21" s="173" t="s">
        <v>688</v>
      </c>
      <c r="G21" s="151"/>
    </row>
    <row r="22" spans="1:7" ht="19.8">
      <c r="A22" s="356"/>
      <c r="B22" s="173" t="s">
        <v>659</v>
      </c>
      <c r="C22" s="173" t="s">
        <v>689</v>
      </c>
      <c r="D22" s="173" t="s">
        <v>690</v>
      </c>
      <c r="E22" s="173" t="s">
        <v>691</v>
      </c>
      <c r="F22" s="149" t="s">
        <v>661</v>
      </c>
    </row>
    <row r="23" spans="1:7" ht="20.399999999999999">
      <c r="A23" s="356" t="s">
        <v>665</v>
      </c>
      <c r="B23" s="173" t="s">
        <v>709</v>
      </c>
      <c r="C23" s="173" t="s">
        <v>692</v>
      </c>
      <c r="D23" s="173" t="s">
        <v>693</v>
      </c>
      <c r="E23" s="173" t="s">
        <v>682</v>
      </c>
      <c r="F23" s="173" t="s">
        <v>694</v>
      </c>
    </row>
    <row r="24" spans="1:7" ht="19.8">
      <c r="A24" s="356"/>
      <c r="B24" s="173" t="s">
        <v>659</v>
      </c>
      <c r="C24" s="173" t="s">
        <v>695</v>
      </c>
      <c r="D24" s="173" t="s">
        <v>696</v>
      </c>
      <c r="E24" s="173" t="s">
        <v>697</v>
      </c>
      <c r="F24" s="149" t="s">
        <v>661</v>
      </c>
    </row>
    <row r="25" spans="1:7" ht="22.2">
      <c r="A25" s="166"/>
      <c r="B25" s="166"/>
      <c r="C25" s="166"/>
      <c r="D25" s="166"/>
    </row>
    <row r="63" spans="1:6" ht="19.8">
      <c r="A63" s="165" t="s">
        <v>727</v>
      </c>
      <c r="B63" s="91" t="str">
        <f>'B11'!C6</f>
        <v>嘉義縣</v>
      </c>
      <c r="C63" s="15">
        <f>MAX(C65:C84)</f>
        <v>3</v>
      </c>
      <c r="D63" s="165" t="s">
        <v>732</v>
      </c>
      <c r="E63" s="91" t="str">
        <f>'B11'!C10</f>
        <v>平原</v>
      </c>
      <c r="F63" s="15">
        <f>MAX(F65:F67)</f>
        <v>4</v>
      </c>
    </row>
    <row r="64" spans="1:6" ht="19.8">
      <c r="A64" s="165" t="s">
        <v>259</v>
      </c>
      <c r="B64" s="165" t="s">
        <v>717</v>
      </c>
      <c r="C64" s="165" t="s">
        <v>728</v>
      </c>
      <c r="D64" s="165" t="s">
        <v>733</v>
      </c>
      <c r="E64" s="165" t="s">
        <v>734</v>
      </c>
      <c r="F64" s="165" t="s">
        <v>735</v>
      </c>
    </row>
    <row r="65" spans="1:6" ht="22.2">
      <c r="A65" s="170" t="s">
        <v>153</v>
      </c>
      <c r="B65" s="172">
        <v>4</v>
      </c>
      <c r="C65" s="15">
        <f t="shared" ref="C65:C84" si="0">IF($B$63=A65,B65,0)</f>
        <v>0</v>
      </c>
      <c r="D65" s="170" t="s">
        <v>726</v>
      </c>
      <c r="E65" s="172">
        <v>5</v>
      </c>
      <c r="F65" s="15">
        <f>IF($E$63=D65,E65,0)</f>
        <v>0</v>
      </c>
    </row>
    <row r="66" spans="1:6" ht="22.2">
      <c r="A66" s="170" t="s">
        <v>152</v>
      </c>
      <c r="B66" s="172">
        <v>4</v>
      </c>
      <c r="C66" s="15">
        <f t="shared" si="0"/>
        <v>0</v>
      </c>
      <c r="D66" s="170" t="s">
        <v>730</v>
      </c>
      <c r="E66" s="172">
        <v>1</v>
      </c>
      <c r="F66" s="15">
        <f>IF($E$63=D66,$C$63+E66,0)</f>
        <v>4</v>
      </c>
    </row>
    <row r="67" spans="1:6" ht="22.2">
      <c r="A67" s="170" t="s">
        <v>154</v>
      </c>
      <c r="B67" s="172">
        <v>4</v>
      </c>
      <c r="C67" s="15">
        <f t="shared" si="0"/>
        <v>0</v>
      </c>
      <c r="D67" s="170" t="s">
        <v>731</v>
      </c>
      <c r="E67" s="172">
        <v>0</v>
      </c>
      <c r="F67" s="15">
        <f>IF($E$63=D67,$C$63+E67,0)</f>
        <v>0</v>
      </c>
    </row>
    <row r="68" spans="1:6" ht="22.2">
      <c r="A68" s="170" t="s">
        <v>155</v>
      </c>
      <c r="B68" s="172">
        <v>4</v>
      </c>
      <c r="C68" s="15">
        <f t="shared" si="0"/>
        <v>0</v>
      </c>
    </row>
    <row r="69" spans="1:6" ht="22.2">
      <c r="A69" s="170" t="s">
        <v>156</v>
      </c>
      <c r="B69" s="172">
        <v>4</v>
      </c>
      <c r="C69" s="15">
        <f t="shared" si="0"/>
        <v>0</v>
      </c>
    </row>
    <row r="70" spans="1:6" ht="22.2">
      <c r="A70" s="170" t="s">
        <v>157</v>
      </c>
      <c r="B70" s="172">
        <v>3</v>
      </c>
      <c r="C70" s="15">
        <f t="shared" si="0"/>
        <v>0</v>
      </c>
    </row>
    <row r="71" spans="1:6" ht="22.2">
      <c r="A71" s="170" t="s">
        <v>158</v>
      </c>
      <c r="B71" s="172">
        <v>3</v>
      </c>
      <c r="C71" s="15">
        <f t="shared" si="0"/>
        <v>0</v>
      </c>
    </row>
    <row r="72" spans="1:6" ht="22.2">
      <c r="A72" s="170" t="s">
        <v>159</v>
      </c>
      <c r="B72" s="172">
        <v>3</v>
      </c>
      <c r="C72" s="15">
        <f t="shared" si="0"/>
        <v>0</v>
      </c>
    </row>
    <row r="73" spans="1:6" ht="22.2">
      <c r="A73" s="170" t="s">
        <v>160</v>
      </c>
      <c r="B73" s="172">
        <v>3</v>
      </c>
      <c r="C73" s="15">
        <f t="shared" si="0"/>
        <v>3</v>
      </c>
    </row>
    <row r="74" spans="1:6" ht="22.2">
      <c r="A74" s="170" t="s">
        <v>161</v>
      </c>
      <c r="B74" s="172">
        <v>3</v>
      </c>
      <c r="C74" s="15">
        <f t="shared" si="0"/>
        <v>0</v>
      </c>
    </row>
    <row r="75" spans="1:6" ht="22.2">
      <c r="A75" s="170" t="s">
        <v>162</v>
      </c>
      <c r="B75" s="172">
        <v>4</v>
      </c>
      <c r="C75" s="15">
        <f t="shared" si="0"/>
        <v>0</v>
      </c>
    </row>
    <row r="76" spans="1:6" ht="22.2">
      <c r="A76" s="170" t="s">
        <v>163</v>
      </c>
      <c r="B76" s="172">
        <v>4</v>
      </c>
      <c r="C76" s="15">
        <f t="shared" si="0"/>
        <v>0</v>
      </c>
    </row>
    <row r="77" spans="1:6" ht="22.2">
      <c r="A77" s="170" t="s">
        <v>725</v>
      </c>
      <c r="B77" s="172">
        <v>2</v>
      </c>
      <c r="C77" s="15">
        <f t="shared" si="0"/>
        <v>0</v>
      </c>
    </row>
    <row r="78" spans="1:6" ht="22.2">
      <c r="A78" s="170" t="s">
        <v>151</v>
      </c>
      <c r="B78" s="172">
        <v>4</v>
      </c>
      <c r="C78" s="15">
        <f t="shared" si="0"/>
        <v>0</v>
      </c>
    </row>
    <row r="79" spans="1:6" ht="22.2">
      <c r="A79" s="170" t="s">
        <v>0</v>
      </c>
      <c r="B79" s="172">
        <v>4</v>
      </c>
      <c r="C79" s="15">
        <f t="shared" si="0"/>
        <v>0</v>
      </c>
    </row>
    <row r="80" spans="1:6" ht="22.2">
      <c r="A80" s="170" t="s">
        <v>149</v>
      </c>
      <c r="B80" s="172">
        <v>4</v>
      </c>
      <c r="C80" s="15">
        <f t="shared" si="0"/>
        <v>0</v>
      </c>
    </row>
    <row r="81" spans="1:3" ht="22.2">
      <c r="A81" s="170" t="s">
        <v>150</v>
      </c>
      <c r="B81" s="172">
        <v>4</v>
      </c>
      <c r="C81" s="15">
        <f t="shared" si="0"/>
        <v>0</v>
      </c>
    </row>
    <row r="82" spans="1:3" ht="22.2">
      <c r="A82" s="170" t="s">
        <v>164</v>
      </c>
      <c r="B82" s="172">
        <v>4</v>
      </c>
      <c r="C82" s="15">
        <f t="shared" si="0"/>
        <v>0</v>
      </c>
    </row>
    <row r="83" spans="1:3" ht="22.2">
      <c r="A83" s="170" t="s">
        <v>165</v>
      </c>
      <c r="B83" s="172">
        <v>4</v>
      </c>
      <c r="C83" s="15">
        <f t="shared" si="0"/>
        <v>0</v>
      </c>
    </row>
    <row r="84" spans="1:3" ht="22.2">
      <c r="A84" s="170" t="s">
        <v>166</v>
      </c>
      <c r="B84" s="172">
        <v>4</v>
      </c>
      <c r="C84" s="15">
        <f t="shared" si="0"/>
        <v>0</v>
      </c>
    </row>
    <row r="86" spans="1:3" ht="19.8">
      <c r="A86" s="160" t="s">
        <v>707</v>
      </c>
      <c r="B86" s="160" t="s">
        <v>706</v>
      </c>
      <c r="C86" s="160" t="s">
        <v>1146</v>
      </c>
    </row>
    <row r="87" spans="1:3" ht="18">
      <c r="A87" s="251">
        <f>IF($C$63=1,1,0)</f>
        <v>0</v>
      </c>
      <c r="B87" s="251">
        <f>IF($F$63=1,1,0)</f>
        <v>0</v>
      </c>
    </row>
    <row r="88" spans="1:3" ht="18">
      <c r="A88" s="251">
        <f>IF($C$63=2,2,0)</f>
        <v>0</v>
      </c>
      <c r="B88" s="251">
        <f>IF($F$63=2,2,0)</f>
        <v>0</v>
      </c>
    </row>
    <row r="89" spans="1:3" ht="18">
      <c r="A89" s="251">
        <f>IF($C$63=3,3,0)</f>
        <v>3</v>
      </c>
      <c r="B89" s="251">
        <f>IF($F$63=3,3,0)</f>
        <v>0</v>
      </c>
    </row>
    <row r="90" spans="1:3" ht="18">
      <c r="A90" s="251">
        <f>IF($C$63=4,4,0)</f>
        <v>0</v>
      </c>
      <c r="B90" s="251">
        <f>IF($F$63=4,4,0)</f>
        <v>4</v>
      </c>
    </row>
    <row r="91" spans="1:3" ht="18">
      <c r="A91" s="251">
        <f>IF($C$63=5,5,0)</f>
        <v>0</v>
      </c>
      <c r="B91" s="251">
        <f>IF($F$63=5,5,0)</f>
        <v>0</v>
      </c>
    </row>
    <row r="92" spans="1:3" ht="18">
      <c r="A92" s="251">
        <f>MAX(A87:A91)</f>
        <v>3</v>
      </c>
      <c r="B92" s="251">
        <f>MAX(B87:B91)</f>
        <v>4</v>
      </c>
      <c r="C92" s="251">
        <f>IF(B92&gt;A92,B92,A92)</f>
        <v>4</v>
      </c>
    </row>
  </sheetData>
  <mergeCells count="9">
    <mergeCell ref="A19:A20"/>
    <mergeCell ref="A21:A22"/>
    <mergeCell ref="A23:A24"/>
    <mergeCell ref="A1:B1"/>
    <mergeCell ref="A10:E10"/>
    <mergeCell ref="A13:A14"/>
    <mergeCell ref="B13:F13"/>
    <mergeCell ref="A15:A16"/>
    <mergeCell ref="A17:A18"/>
  </mergeCells>
  <phoneticPr fontId="1" type="noConversion"/>
  <pageMargins left="0.7" right="0.7" top="0.75" bottom="0.75" header="0.3" footer="0.3"/>
  <pageSetup paperSize="9" orientation="portrait" horizontalDpi="1200" verticalDpi="12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sqref="A1:B1"/>
    </sheetView>
  </sheetViews>
  <sheetFormatPr defaultRowHeight="16.2"/>
  <cols>
    <col min="1" max="1" width="10.33203125" customWidth="1"/>
    <col min="2" max="2" width="20.21875" bestFit="1" customWidth="1"/>
    <col min="3" max="5" width="11.88671875" bestFit="1" customWidth="1"/>
    <col min="6" max="6" width="14.6640625" bestFit="1" customWidth="1"/>
  </cols>
  <sheetData>
    <row r="1" spans="1:4" ht="22.2">
      <c r="A1" s="334" t="s">
        <v>994</v>
      </c>
      <c r="B1" s="334"/>
      <c r="C1" s="60"/>
      <c r="D1" s="60"/>
    </row>
    <row r="2" spans="1:4" ht="22.2">
      <c r="A2" s="208"/>
      <c r="B2" s="208"/>
      <c r="C2" s="60"/>
      <c r="D2" s="60"/>
    </row>
    <row r="3" spans="1:4" ht="19.8">
      <c r="A3" s="51" t="s">
        <v>966</v>
      </c>
      <c r="B3" s="51" t="s">
        <v>967</v>
      </c>
    </row>
    <row r="4" spans="1:4" ht="19.8">
      <c r="A4" s="51" t="s">
        <v>806</v>
      </c>
      <c r="B4" s="216" t="s">
        <v>995</v>
      </c>
    </row>
    <row r="5" spans="1:4" ht="19.8">
      <c r="A5" s="51" t="s">
        <v>807</v>
      </c>
      <c r="B5" s="216" t="s">
        <v>996</v>
      </c>
    </row>
    <row r="6" spans="1:4" ht="19.8">
      <c r="A6" s="51" t="s">
        <v>808</v>
      </c>
      <c r="B6" s="216" t="s">
        <v>997</v>
      </c>
    </row>
    <row r="7" spans="1:4" ht="19.8">
      <c r="A7" s="51" t="s">
        <v>809</v>
      </c>
      <c r="B7" s="216" t="s">
        <v>998</v>
      </c>
    </row>
    <row r="8" spans="1:4" ht="19.8">
      <c r="A8" s="51" t="s">
        <v>810</v>
      </c>
      <c r="B8" s="214" t="s">
        <v>970</v>
      </c>
    </row>
  </sheetData>
  <mergeCells count="1">
    <mergeCell ref="A1:B1"/>
  </mergeCells>
  <phoneticPr fontId="1" type="noConversion"/>
  <hyperlinks>
    <hyperlink ref="B4" location="'B461'!A1" display="A型簡易溫室"/>
    <hyperlink ref="B5" location="'B462'!A1" display="B型簡易溫室"/>
    <hyperlink ref="B6" location="'B463'!A1" display="C型簡易溫室"/>
    <hyperlink ref="B7" location="'B464'!A1" display="圓頂力霸型溫室"/>
  </hyperlinks>
  <pageMargins left="0.7" right="0.7" top="0.75" bottom="0.75" header="0.3" footer="0.3"/>
  <pageSetup paperSize="9" orientation="portrait" horizontalDpi="1200" verticalDpi="12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
  <sheetViews>
    <sheetView workbookViewId="0">
      <selection activeCell="G9" sqref="G9"/>
    </sheetView>
  </sheetViews>
  <sheetFormatPr defaultRowHeight="16.2"/>
  <cols>
    <col min="1" max="1" width="7.21875" bestFit="1" customWidth="1"/>
    <col min="2" max="2" width="23.21875" customWidth="1"/>
    <col min="3" max="3" width="19.109375" customWidth="1"/>
    <col min="4" max="4" width="17.44140625" customWidth="1"/>
    <col min="5" max="5" width="17.33203125" customWidth="1"/>
    <col min="6" max="6" width="13" bestFit="1" customWidth="1"/>
    <col min="7" max="7" width="23.88671875" bestFit="1" customWidth="1"/>
    <col min="8" max="8" width="17.44140625" bestFit="1" customWidth="1"/>
  </cols>
  <sheetData>
    <row r="1" spans="1:8" ht="22.2">
      <c r="A1" s="378" t="s">
        <v>993</v>
      </c>
      <c r="B1" s="378"/>
      <c r="C1" s="108"/>
    </row>
    <row r="2" spans="1:8" s="32" customFormat="1" ht="19.8">
      <c r="A2" s="52"/>
      <c r="B2" s="52"/>
      <c r="C2" s="52"/>
      <c r="D2" s="98"/>
      <c r="E2" s="154" t="s">
        <v>743</v>
      </c>
      <c r="F2" s="91" t="s">
        <v>755</v>
      </c>
      <c r="G2" s="153" t="s">
        <v>742</v>
      </c>
      <c r="H2" s="158">
        <f>10+D47</f>
        <v>10</v>
      </c>
    </row>
    <row r="3" spans="1:8" s="32" customFormat="1" ht="19.8">
      <c r="A3" s="52"/>
      <c r="B3" s="52"/>
      <c r="C3" s="52"/>
      <c r="E3" s="136" t="s">
        <v>124</v>
      </c>
      <c r="F3" s="25">
        <f>G39</f>
        <v>14409.706970951316</v>
      </c>
      <c r="G3" s="104" t="s">
        <v>120</v>
      </c>
    </row>
    <row r="4" spans="1:8" s="32" customFormat="1" ht="19.8">
      <c r="A4" s="52"/>
      <c r="B4" s="52"/>
      <c r="C4" s="52"/>
      <c r="E4" s="136" t="s">
        <v>122</v>
      </c>
      <c r="F4" s="25">
        <v>36</v>
      </c>
      <c r="G4" s="105" t="s">
        <v>531</v>
      </c>
    </row>
    <row r="5" spans="1:8" s="32" customFormat="1" ht="19.8">
      <c r="A5" s="52"/>
      <c r="B5" s="52"/>
      <c r="C5" s="52"/>
      <c r="E5" s="136" t="s">
        <v>126</v>
      </c>
      <c r="F5" s="25">
        <f>$G$40</f>
        <v>518749.45095424738</v>
      </c>
      <c r="G5" s="105" t="s">
        <v>125</v>
      </c>
    </row>
    <row r="6" spans="1:8" s="32" customFormat="1" ht="19.8">
      <c r="B6" s="323" t="s">
        <v>827</v>
      </c>
      <c r="C6" s="324"/>
      <c r="D6" s="325"/>
    </row>
    <row r="7" spans="1:8" s="32" customFormat="1" ht="19.8">
      <c r="B7" s="379" t="s">
        <v>650</v>
      </c>
      <c r="C7" s="380"/>
      <c r="D7" s="381"/>
    </row>
    <row r="8" spans="1:8" s="32" customFormat="1" ht="19.8">
      <c r="B8" s="340" t="s">
        <v>532</v>
      </c>
      <c r="C8" s="314"/>
      <c r="D8" s="134" t="s">
        <v>88</v>
      </c>
      <c r="E8" s="134" t="s">
        <v>543</v>
      </c>
    </row>
    <row r="9" spans="1:8" s="32" customFormat="1" ht="19.8">
      <c r="B9" s="382">
        <f>'B42'!I15</f>
        <v>565</v>
      </c>
      <c r="C9" s="383"/>
      <c r="D9" s="34">
        <f>'B42'!L15</f>
        <v>4</v>
      </c>
      <c r="E9" s="34">
        <f>'B42'!E5</f>
        <v>102</v>
      </c>
      <c r="G9" s="161"/>
    </row>
    <row r="10" spans="1:8" s="32" customFormat="1" ht="19.8">
      <c r="A10" s="19"/>
      <c r="B10" s="96" t="s">
        <v>297</v>
      </c>
      <c r="C10" s="96" t="s">
        <v>479</v>
      </c>
      <c r="D10" s="96" t="s">
        <v>480</v>
      </c>
      <c r="E10" s="96" t="s">
        <v>563</v>
      </c>
    </row>
    <row r="11" spans="1:8" s="32" customFormat="1" ht="19.8">
      <c r="A11" s="19"/>
      <c r="B11" s="90">
        <f>'B42'!E15</f>
        <v>550</v>
      </c>
      <c r="C11" s="90">
        <f>'B42'!F15</f>
        <v>240</v>
      </c>
      <c r="D11" s="90">
        <f>'B42'!G15</f>
        <v>310</v>
      </c>
      <c r="E11" s="115">
        <f>'B11'!C29</f>
        <v>698.54545454545462</v>
      </c>
    </row>
    <row r="12" spans="1:8" s="32" customFormat="1" ht="39.6">
      <c r="A12" s="19"/>
      <c r="B12" s="134" t="s">
        <v>482</v>
      </c>
      <c r="C12" s="137" t="s">
        <v>483</v>
      </c>
      <c r="D12" s="96" t="s">
        <v>570</v>
      </c>
      <c r="E12" s="96" t="s">
        <v>108</v>
      </c>
      <c r="F12" s="96" t="s">
        <v>569</v>
      </c>
    </row>
    <row r="13" spans="1:8" s="32" customFormat="1" ht="19.8">
      <c r="A13" s="19"/>
      <c r="B13" s="90">
        <f>'B42'!J15</f>
        <v>100</v>
      </c>
      <c r="C13" s="20">
        <f>'B42'!K15</f>
        <v>100</v>
      </c>
      <c r="D13" s="20">
        <v>500</v>
      </c>
      <c r="E13" s="90">
        <f>INT((E9*100-200)/B13)+(200/C13)+1</f>
        <v>103</v>
      </c>
      <c r="F13" s="90">
        <f>INT((E9*100)/D13+2)</f>
        <v>22</v>
      </c>
    </row>
    <row r="14" spans="1:8" ht="17.399999999999999">
      <c r="A14" s="19"/>
      <c r="B14" s="19"/>
      <c r="C14" s="19"/>
      <c r="D14" s="19"/>
    </row>
    <row r="15" spans="1:8" s="32" customFormat="1" ht="19.8">
      <c r="A15" s="375" t="s">
        <v>537</v>
      </c>
      <c r="B15" s="376"/>
      <c r="C15" s="377"/>
      <c r="D15" s="134" t="s">
        <v>88</v>
      </c>
      <c r="E15" s="23">
        <f>$D$9</f>
        <v>4</v>
      </c>
      <c r="F15" s="134" t="s">
        <v>109</v>
      </c>
      <c r="G15" s="21">
        <v>2</v>
      </c>
    </row>
    <row r="16" spans="1:8" s="32" customFormat="1" ht="19.8">
      <c r="A16" s="134" t="s">
        <v>89</v>
      </c>
      <c r="B16" s="134" t="s">
        <v>90</v>
      </c>
      <c r="C16" s="40" t="s">
        <v>544</v>
      </c>
      <c r="D16" s="134" t="s">
        <v>538</v>
      </c>
      <c r="E16" s="134" t="s">
        <v>113</v>
      </c>
      <c r="F16" s="134" t="s">
        <v>106</v>
      </c>
      <c r="G16" s="134" t="s">
        <v>539</v>
      </c>
    </row>
    <row r="17" spans="1:7" s="32" customFormat="1" ht="19.8">
      <c r="A17" s="45">
        <v>1</v>
      </c>
      <c r="B17" s="134" t="s">
        <v>578</v>
      </c>
      <c r="C17" s="21" t="s">
        <v>651</v>
      </c>
      <c r="D17" s="90">
        <v>510</v>
      </c>
      <c r="E17" s="21">
        <v>1</v>
      </c>
      <c r="F17" s="23">
        <f>$E$15*E17</f>
        <v>4</v>
      </c>
      <c r="G17" s="24">
        <f>IF(E48&gt;1,IF(E48=3,('B52'!$N$17*F17*D17/100),('B52'!$J$17*F17*D17/100)),('B52'!$R$17*F17*D17/100))</f>
        <v>25.743372341469176</v>
      </c>
    </row>
    <row r="18" spans="1:7" s="32" customFormat="1" ht="19.8">
      <c r="A18" s="45">
        <v>2</v>
      </c>
      <c r="B18" s="134" t="s">
        <v>579</v>
      </c>
      <c r="C18" s="21" t="s">
        <v>651</v>
      </c>
      <c r="D18" s="90">
        <v>480</v>
      </c>
      <c r="E18" s="21">
        <v>2</v>
      </c>
      <c r="F18" s="23">
        <f t="shared" ref="F18:F19" si="0">$E$15*E18</f>
        <v>8</v>
      </c>
      <c r="G18" s="24">
        <f>IF(E48&gt;1,IF(E48=3,('B52'!$N$17*F18*D18/100),('B52'!$J$17*F18*D18/100)),('B52'!$R$17*F18*D18/100))</f>
        <v>48.458112642765506</v>
      </c>
    </row>
    <row r="19" spans="1:7" s="32" customFormat="1" ht="19.8">
      <c r="A19" s="45">
        <v>3</v>
      </c>
      <c r="B19" s="134" t="s">
        <v>580</v>
      </c>
      <c r="C19" s="21" t="s">
        <v>651</v>
      </c>
      <c r="D19" s="90">
        <v>400</v>
      </c>
      <c r="E19" s="21">
        <v>2</v>
      </c>
      <c r="F19" s="23">
        <f t="shared" si="0"/>
        <v>8</v>
      </c>
      <c r="G19" s="24">
        <f>IF(E48&gt;1,IF(E48=3,('B52'!$N$17*F19*D19/100),('B52'!$J$17*F19*D19/100)),('B52'!$R$17*F19*D19/100))</f>
        <v>40.381760535637923</v>
      </c>
    </row>
    <row r="20" spans="1:7" s="32" customFormat="1" ht="19.8">
      <c r="A20" s="45">
        <v>4</v>
      </c>
      <c r="B20" s="134" t="s">
        <v>583</v>
      </c>
      <c r="C20" s="21" t="s">
        <v>651</v>
      </c>
      <c r="D20" s="34">
        <v>240</v>
      </c>
      <c r="E20" s="21">
        <v>2</v>
      </c>
      <c r="F20" s="21">
        <f>E20*$E$15</f>
        <v>8</v>
      </c>
      <c r="G20" s="24">
        <f>IF(E48&gt;1,IF(E48=3,('B52'!$N$17*F20*D20/100),('B52'!$J$17*F20*D20/100)),('B52'!$R$17*F20*D20/100))</f>
        <v>24.229056321382753</v>
      </c>
    </row>
    <row r="21" spans="1:7" s="32" customFormat="1" ht="19.8">
      <c r="A21" s="45">
        <v>5</v>
      </c>
      <c r="B21" s="134" t="s">
        <v>93</v>
      </c>
      <c r="C21" s="21" t="s">
        <v>651</v>
      </c>
      <c r="D21" s="34">
        <f>2*PI()*3618*150/360/10</f>
        <v>947.19018505732276</v>
      </c>
      <c r="E21" s="21">
        <v>1</v>
      </c>
      <c r="F21" s="21">
        <f>E21*$E$15</f>
        <v>4</v>
      </c>
      <c r="G21" s="24">
        <f>IF(E48&gt;1,IF(E48=3,('B52'!$N$17*F21*D21/100),('B52'!$J$17*F21*D21/100)),('B52'!$R$17*F21*D21/100))</f>
        <v>47.811509043364225</v>
      </c>
    </row>
    <row r="22" spans="1:7" s="32" customFormat="1" ht="19.8">
      <c r="A22" s="45">
        <v>6</v>
      </c>
      <c r="B22" s="134" t="s">
        <v>581</v>
      </c>
      <c r="C22" s="21" t="s">
        <v>652</v>
      </c>
      <c r="D22" s="90">
        <v>700</v>
      </c>
      <c r="E22" s="22">
        <v>2</v>
      </c>
      <c r="F22" s="21">
        <f>E22*$E$15</f>
        <v>8</v>
      </c>
      <c r="G22" s="24">
        <f>IF(E48&gt;1,IF(E48=3,('B52'!$N$21*F22*D22/100),('B52'!$J$21*F22*D22/100)),('B52'!$R$21*F22*D22/100))</f>
        <v>33.395652668677052</v>
      </c>
    </row>
    <row r="23" spans="1:7" s="32" customFormat="1" ht="19.8">
      <c r="A23" s="287"/>
      <c r="B23" s="384"/>
      <c r="C23" s="384"/>
      <c r="D23" s="384"/>
      <c r="E23" s="385"/>
      <c r="F23" s="134" t="s">
        <v>111</v>
      </c>
      <c r="G23" s="24">
        <f>SUM(G17:G22)</f>
        <v>220.01946355329665</v>
      </c>
    </row>
    <row r="24" spans="1:7" s="32" customFormat="1" ht="19.8">
      <c r="A24" s="359" t="s">
        <v>107</v>
      </c>
      <c r="B24" s="386"/>
      <c r="C24" s="386"/>
      <c r="D24" s="386"/>
      <c r="E24" s="386"/>
      <c r="F24" s="360"/>
      <c r="G24" s="25">
        <f>G23*G15</f>
        <v>440.03892710659329</v>
      </c>
    </row>
    <row r="25" spans="1:7" s="32" customFormat="1" ht="19.8">
      <c r="A25" s="28"/>
      <c r="B25" s="19"/>
      <c r="C25" s="19"/>
      <c r="D25" s="19"/>
    </row>
    <row r="26" spans="1:7" s="32" customFormat="1" ht="19.8">
      <c r="A26" s="375" t="s">
        <v>540</v>
      </c>
      <c r="B26" s="376"/>
      <c r="C26" s="377"/>
      <c r="D26" s="134" t="s">
        <v>88</v>
      </c>
      <c r="E26" s="23">
        <f>$D$9</f>
        <v>4</v>
      </c>
      <c r="F26" s="134" t="s">
        <v>108</v>
      </c>
      <c r="G26" s="23">
        <f>E13-2</f>
        <v>101</v>
      </c>
    </row>
    <row r="27" spans="1:7" s="32" customFormat="1" ht="19.8">
      <c r="A27" s="134" t="s">
        <v>89</v>
      </c>
      <c r="B27" s="134" t="s">
        <v>90</v>
      </c>
      <c r="C27" s="40" t="s">
        <v>544</v>
      </c>
      <c r="D27" s="134" t="s">
        <v>538</v>
      </c>
      <c r="E27" s="134" t="s">
        <v>113</v>
      </c>
      <c r="F27" s="134" t="s">
        <v>106</v>
      </c>
      <c r="G27" s="134" t="s">
        <v>539</v>
      </c>
    </row>
    <row r="28" spans="1:7" s="32" customFormat="1" ht="19.8">
      <c r="A28" s="45">
        <v>1</v>
      </c>
      <c r="B28" s="134" t="s">
        <v>586</v>
      </c>
      <c r="C28" s="21" t="s">
        <v>589</v>
      </c>
      <c r="D28" s="90">
        <v>330</v>
      </c>
      <c r="E28" s="21">
        <v>1</v>
      </c>
      <c r="F28" s="21">
        <f t="shared" ref="F28:F31" si="1">E28*$E$15</f>
        <v>4</v>
      </c>
      <c r="G28" s="24">
        <f>IF(E48&gt;1,IF(E48=3,('B52'!$N$18*F28*D28/100),('B52'!$J$18*F28*D28/100)),('B52'!$R$18*F28*D28/100))</f>
        <v>10.025816408848028</v>
      </c>
    </row>
    <row r="29" spans="1:7" s="32" customFormat="1" ht="19.8">
      <c r="A29" s="45">
        <v>2</v>
      </c>
      <c r="B29" s="134" t="s">
        <v>584</v>
      </c>
      <c r="C29" s="21" t="s">
        <v>575</v>
      </c>
      <c r="D29" s="90">
        <v>700</v>
      </c>
      <c r="E29" s="21">
        <v>1</v>
      </c>
      <c r="F29" s="21">
        <f t="shared" si="1"/>
        <v>4</v>
      </c>
      <c r="G29" s="24">
        <f>IF(E48&gt;1,IF(E48=3,('B52'!$N$19*F29*D29/100),('B52'!$J$19*F29*D29/100)),('B52'!$R$19*F29*D29/100))</f>
        <v>35.334040468683185</v>
      </c>
    </row>
    <row r="30" spans="1:7" s="32" customFormat="1" ht="19.8">
      <c r="A30" s="45">
        <v>3</v>
      </c>
      <c r="B30" s="134" t="s">
        <v>585</v>
      </c>
      <c r="C30" s="21" t="s">
        <v>582</v>
      </c>
      <c r="D30" s="90">
        <v>100</v>
      </c>
      <c r="E30" s="21">
        <v>1</v>
      </c>
      <c r="F30" s="21">
        <f t="shared" si="1"/>
        <v>4</v>
      </c>
      <c r="G30" s="24">
        <f>IF(E48&gt;1,IF(E48=3,('B52'!$N$20*F30*D30/100),('B52'!$J$20*F30*D30/100)),('B52'!$R$20*F30*D30/100))</f>
        <v>3.0381261844994025</v>
      </c>
    </row>
    <row r="31" spans="1:7" s="32" customFormat="1" ht="19.8">
      <c r="A31" s="45">
        <v>4</v>
      </c>
      <c r="B31" s="134" t="s">
        <v>653</v>
      </c>
      <c r="C31" s="21" t="s">
        <v>652</v>
      </c>
      <c r="D31" s="90">
        <v>100</v>
      </c>
      <c r="E31" s="21">
        <v>5</v>
      </c>
      <c r="F31" s="21">
        <f t="shared" si="1"/>
        <v>20</v>
      </c>
      <c r="G31" s="24">
        <f>IF(E48&gt;1,IF(E48=3,('B52'!N$21*F31*D31/100),('B52'!$J$21*F31*D31/100)),('B52'!$R$21*F31*D31/100))</f>
        <v>11.927018810241805</v>
      </c>
    </row>
    <row r="32" spans="1:7" s="32" customFormat="1" ht="19.8">
      <c r="A32" s="45">
        <v>5</v>
      </c>
      <c r="B32" s="134" t="s">
        <v>587</v>
      </c>
      <c r="C32" s="21" t="s">
        <v>652</v>
      </c>
      <c r="D32" s="90">
        <v>100</v>
      </c>
      <c r="E32" s="21">
        <v>6</v>
      </c>
      <c r="F32" s="21">
        <f>E32</f>
        <v>6</v>
      </c>
      <c r="G32" s="24">
        <f>IF(E48&gt;1,IF(E48=3,('B52'!N$21*F32*D32/100),('B52'!$J$21*F32*D32/100)),('B52'!$R$21*F32*D32/100))</f>
        <v>3.5781056430725418</v>
      </c>
    </row>
    <row r="33" spans="1:7" s="32" customFormat="1" ht="19.8">
      <c r="A33" s="45">
        <v>6</v>
      </c>
      <c r="B33" s="134" t="s">
        <v>583</v>
      </c>
      <c r="C33" s="21" t="s">
        <v>651</v>
      </c>
      <c r="D33" s="34">
        <v>240</v>
      </c>
      <c r="E33" s="21">
        <v>2</v>
      </c>
      <c r="F33" s="21">
        <f>E33*$E$15</f>
        <v>8</v>
      </c>
      <c r="G33" s="24">
        <f>IF(E48&gt;1,IF(E48=3,('B52'!N$17*F33*D33/100),('B52'!$J$17*F33*D33/100)),('B52'!$R$17*F33*D33/100))</f>
        <v>24.229056321382753</v>
      </c>
    </row>
    <row r="34" spans="1:7" s="32" customFormat="1" ht="19.8">
      <c r="A34" s="45">
        <v>7</v>
      </c>
      <c r="B34" s="134" t="s">
        <v>93</v>
      </c>
      <c r="C34" s="21" t="s">
        <v>651</v>
      </c>
      <c r="D34" s="34">
        <f>2*PI()*4450*128/360/10</f>
        <v>994.13954193597021</v>
      </c>
      <c r="E34" s="21">
        <v>1</v>
      </c>
      <c r="F34" s="21">
        <f>E34*$E$15</f>
        <v>4</v>
      </c>
      <c r="G34" s="24">
        <f>IF(E48&gt;1,IF(E48=3,('B52'!$N$17*F34*D34/100),('B52'!$J$17*F34*D34/100)),('B52'!$R$17*F34*D34/100))</f>
        <v>50.181381151833904</v>
      </c>
    </row>
    <row r="35" spans="1:7" s="32" customFormat="1" ht="19.8">
      <c r="A35" s="287"/>
      <c r="B35" s="384"/>
      <c r="C35" s="384"/>
      <c r="D35" s="384"/>
      <c r="E35" s="385"/>
      <c r="F35" s="134" t="s">
        <v>111</v>
      </c>
      <c r="G35" s="24">
        <f>SUM(G28:G34)</f>
        <v>138.3135449885616</v>
      </c>
    </row>
    <row r="36" spans="1:7" s="32" customFormat="1" ht="19.8">
      <c r="A36" s="359" t="s">
        <v>110</v>
      </c>
      <c r="B36" s="386"/>
      <c r="C36" s="386"/>
      <c r="D36" s="386"/>
      <c r="E36" s="386"/>
      <c r="F36" s="360" t="s">
        <v>110</v>
      </c>
      <c r="G36" s="25">
        <f>G35*G26</f>
        <v>13969.668043844722</v>
      </c>
    </row>
    <row r="37" spans="1:7" s="32" customFormat="1" ht="19.8"/>
    <row r="38" spans="1:7" s="32" customFormat="1" ht="19.8"/>
    <row r="39" spans="1:7" s="32" customFormat="1" ht="19.8">
      <c r="A39" s="359" t="s">
        <v>119</v>
      </c>
      <c r="B39" s="386"/>
      <c r="C39" s="386"/>
      <c r="D39" s="386"/>
      <c r="E39" s="386"/>
      <c r="F39" s="360" t="s">
        <v>110</v>
      </c>
      <c r="G39" s="25">
        <f>G24+G36</f>
        <v>14409.706970951316</v>
      </c>
    </row>
    <row r="40" spans="1:7" s="32" customFormat="1" ht="19.8">
      <c r="A40" s="295" t="s">
        <v>123</v>
      </c>
      <c r="B40" s="296"/>
      <c r="C40" s="27">
        <f>$F$4</f>
        <v>36</v>
      </c>
      <c r="D40" s="141"/>
      <c r="E40" s="141"/>
      <c r="F40" s="140" t="s">
        <v>121</v>
      </c>
      <c r="G40" s="25">
        <f>G39*C40</f>
        <v>518749.45095424738</v>
      </c>
    </row>
    <row r="43" spans="1:7" ht="19.8">
      <c r="A43" s="154" t="s">
        <v>821</v>
      </c>
      <c r="B43" s="153" t="s">
        <v>743</v>
      </c>
      <c r="C43" s="153"/>
      <c r="D43" s="153" t="s">
        <v>749</v>
      </c>
    </row>
    <row r="44" spans="1:7" ht="19.8">
      <c r="A44" s="159">
        <v>1</v>
      </c>
      <c r="B44" s="153" t="s">
        <v>746</v>
      </c>
      <c r="C44" s="156">
        <f>IF($F$2=B44,1,0)</f>
        <v>1</v>
      </c>
      <c r="D44" s="156">
        <v>0</v>
      </c>
      <c r="E44" s="164">
        <f>IF($F$2=B44,1,0)</f>
        <v>1</v>
      </c>
    </row>
    <row r="45" spans="1:7" ht="19.8">
      <c r="A45" s="159">
        <v>2</v>
      </c>
      <c r="B45" s="153" t="s">
        <v>744</v>
      </c>
      <c r="C45" s="156">
        <f>IF($F$2=B45,1,0)</f>
        <v>0</v>
      </c>
      <c r="D45" s="156">
        <v>0</v>
      </c>
      <c r="E45" s="164">
        <f>IF($F$2=B45,2,0)</f>
        <v>0</v>
      </c>
    </row>
    <row r="46" spans="1:7" ht="19.8">
      <c r="A46" s="159">
        <v>3</v>
      </c>
      <c r="B46" s="153" t="s">
        <v>745</v>
      </c>
      <c r="C46" s="156">
        <f t="shared" ref="C46" si="2">IF($F$2=B46,1,0)</f>
        <v>0</v>
      </c>
      <c r="D46" s="156">
        <f>IF(C46=1,1,0)</f>
        <v>0</v>
      </c>
      <c r="E46" s="164">
        <f>IF($F$2=B46,3,0)</f>
        <v>0</v>
      </c>
    </row>
    <row r="47" spans="1:7" ht="18">
      <c r="D47" s="156">
        <f>SUM(D44:D46)</f>
        <v>0</v>
      </c>
      <c r="E47" s="164">
        <f>SUM(E44:E46)</f>
        <v>1</v>
      </c>
    </row>
    <row r="48" spans="1:7" ht="19.8">
      <c r="D48" s="160" t="s">
        <v>747</v>
      </c>
      <c r="E48" s="156">
        <f>E47</f>
        <v>1</v>
      </c>
    </row>
  </sheetData>
  <mergeCells count="13">
    <mergeCell ref="A40:B40"/>
    <mergeCell ref="A23:E23"/>
    <mergeCell ref="A24:F24"/>
    <mergeCell ref="A26:C26"/>
    <mergeCell ref="A35:E35"/>
    <mergeCell ref="A36:F36"/>
    <mergeCell ref="A39:F39"/>
    <mergeCell ref="A15:C15"/>
    <mergeCell ref="A1:B1"/>
    <mergeCell ref="B6:D6"/>
    <mergeCell ref="B7:D7"/>
    <mergeCell ref="B8:C8"/>
    <mergeCell ref="B9:C9"/>
  </mergeCells>
  <phoneticPr fontId="1" type="noConversion"/>
  <dataValidations count="1">
    <dataValidation type="list" allowBlank="1" showInputMessage="1" showErrorMessage="1" sqref="F2">
      <formula1>"原型,強化,輕量化"</formula1>
    </dataValidation>
  </dataValidations>
  <hyperlinks>
    <hyperlink ref="C16" location="溫室構件!A1" display="構件編號"/>
    <hyperlink ref="C27" location="溫室構件!A1" display="構件編號"/>
  </hyperlinks>
  <pageMargins left="0.7" right="0.7" top="0.75" bottom="0.75" header="0.3" footer="0.3"/>
  <pageSetup paperSize="9" orientation="portrait" horizontalDpi="1200" verticalDpi="12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workbookViewId="0">
      <selection sqref="A1:B1"/>
    </sheetView>
  </sheetViews>
  <sheetFormatPr defaultRowHeight="16.2"/>
  <cols>
    <col min="1" max="1" width="7.21875" bestFit="1" customWidth="1"/>
    <col min="2" max="2" width="23.21875" customWidth="1"/>
    <col min="3" max="3" width="19.109375" customWidth="1"/>
    <col min="4" max="4" width="17.44140625" customWidth="1"/>
    <col min="5" max="5" width="17.33203125" customWidth="1"/>
    <col min="6" max="6" width="13" bestFit="1" customWidth="1"/>
    <col min="7" max="7" width="23.88671875" bestFit="1" customWidth="1"/>
  </cols>
  <sheetData>
    <row r="1" spans="1:9" ht="22.2">
      <c r="A1" s="378" t="s">
        <v>992</v>
      </c>
      <c r="B1" s="378"/>
      <c r="C1" s="108"/>
    </row>
    <row r="2" spans="1:9" ht="22.2">
      <c r="A2" s="157"/>
      <c r="B2" s="157"/>
      <c r="C2" s="157"/>
      <c r="E2" s="154" t="s">
        <v>743</v>
      </c>
      <c r="F2" s="91" t="s">
        <v>755</v>
      </c>
      <c r="G2" s="153" t="s">
        <v>742</v>
      </c>
      <c r="H2" s="158">
        <f>10+D47</f>
        <v>10</v>
      </c>
      <c r="I2" s="32"/>
    </row>
    <row r="3" spans="1:9" s="32" customFormat="1" ht="19.8">
      <c r="A3" s="52"/>
      <c r="B3" s="52"/>
      <c r="C3" s="52"/>
      <c r="E3" s="103" t="s">
        <v>124</v>
      </c>
      <c r="F3" s="25">
        <f>G38</f>
        <v>17576.587084221257</v>
      </c>
      <c r="G3" s="104" t="s">
        <v>120</v>
      </c>
    </row>
    <row r="4" spans="1:9" s="32" customFormat="1" ht="19.8">
      <c r="A4" s="52"/>
      <c r="B4" s="52"/>
      <c r="C4" s="52"/>
      <c r="E4" s="103" t="s">
        <v>122</v>
      </c>
      <c r="F4" s="25">
        <v>36</v>
      </c>
      <c r="G4" s="105" t="s">
        <v>531</v>
      </c>
    </row>
    <row r="5" spans="1:9" s="32" customFormat="1" ht="19.8">
      <c r="A5" s="52"/>
      <c r="B5" s="52"/>
      <c r="C5" s="52"/>
      <c r="E5" s="103" t="s">
        <v>567</v>
      </c>
      <c r="F5" s="25">
        <f>$G$39</f>
        <v>632757.13503196521</v>
      </c>
      <c r="G5" s="105" t="s">
        <v>125</v>
      </c>
    </row>
    <row r="6" spans="1:9" s="32" customFormat="1" ht="19.8">
      <c r="B6" s="323" t="s">
        <v>827</v>
      </c>
      <c r="C6" s="324"/>
      <c r="D6" s="325"/>
    </row>
    <row r="7" spans="1:9" s="32" customFormat="1" ht="19.8">
      <c r="B7" s="379" t="s">
        <v>590</v>
      </c>
      <c r="C7" s="380"/>
      <c r="D7" s="381"/>
    </row>
    <row r="8" spans="1:9" s="32" customFormat="1" ht="19.8">
      <c r="B8" s="340" t="s">
        <v>532</v>
      </c>
      <c r="C8" s="314"/>
      <c r="D8" s="93" t="s">
        <v>88</v>
      </c>
      <c r="E8" s="93" t="s">
        <v>543</v>
      </c>
    </row>
    <row r="9" spans="1:9" s="32" customFormat="1" ht="19.8">
      <c r="B9" s="382">
        <f>'B42'!I15</f>
        <v>565</v>
      </c>
      <c r="C9" s="383"/>
      <c r="D9" s="34">
        <f>'B42'!L15</f>
        <v>4</v>
      </c>
      <c r="E9" s="34">
        <f>'B42'!E5</f>
        <v>102</v>
      </c>
    </row>
    <row r="10" spans="1:9" s="32" customFormat="1" ht="19.8">
      <c r="A10" s="19"/>
      <c r="B10" s="96" t="s">
        <v>297</v>
      </c>
      <c r="C10" s="96" t="s">
        <v>479</v>
      </c>
      <c r="D10" s="96" t="s">
        <v>480</v>
      </c>
      <c r="E10" s="96" t="s">
        <v>563</v>
      </c>
    </row>
    <row r="11" spans="1:9" s="32" customFormat="1" ht="19.8">
      <c r="A11" s="19"/>
      <c r="B11" s="90">
        <f>'B42'!E15</f>
        <v>550</v>
      </c>
      <c r="C11" s="90">
        <f>'B42'!F15</f>
        <v>240</v>
      </c>
      <c r="D11" s="90">
        <f>'B42'!G15</f>
        <v>310</v>
      </c>
      <c r="E11" s="115">
        <f>'B11'!C29</f>
        <v>698.54545454545462</v>
      </c>
    </row>
    <row r="12" spans="1:9" s="32" customFormat="1" ht="39.6">
      <c r="A12" s="19"/>
      <c r="B12" s="93" t="s">
        <v>482</v>
      </c>
      <c r="C12" s="95" t="s">
        <v>483</v>
      </c>
      <c r="D12" s="96" t="s">
        <v>570</v>
      </c>
      <c r="E12" s="96" t="s">
        <v>108</v>
      </c>
      <c r="F12" s="96" t="s">
        <v>569</v>
      </c>
    </row>
    <row r="13" spans="1:9" s="32" customFormat="1" ht="19.8">
      <c r="A13" s="19"/>
      <c r="B13" s="90">
        <f>'B42'!J15</f>
        <v>100</v>
      </c>
      <c r="C13" s="20">
        <f>'B42'!K15</f>
        <v>100</v>
      </c>
      <c r="D13" s="20">
        <v>500</v>
      </c>
      <c r="E13" s="90">
        <f>INT((E9*100-200)/B13)+(200/C13)+1</f>
        <v>103</v>
      </c>
      <c r="F13" s="90">
        <f>INT((E9*100)/D13+2)</f>
        <v>22</v>
      </c>
    </row>
    <row r="14" spans="1:9" ht="17.399999999999999">
      <c r="A14" s="19"/>
      <c r="B14" s="19"/>
      <c r="C14" s="19"/>
      <c r="D14" s="19"/>
    </row>
    <row r="15" spans="1:9" s="32" customFormat="1" ht="19.8">
      <c r="A15" s="375" t="s">
        <v>537</v>
      </c>
      <c r="B15" s="376"/>
      <c r="C15" s="377"/>
      <c r="D15" s="93" t="s">
        <v>88</v>
      </c>
      <c r="E15" s="23">
        <f>$D$9</f>
        <v>4</v>
      </c>
      <c r="F15" s="93" t="s">
        <v>109</v>
      </c>
      <c r="G15" s="21">
        <v>2</v>
      </c>
    </row>
    <row r="16" spans="1:9" s="32" customFormat="1" ht="19.8">
      <c r="A16" s="93" t="s">
        <v>89</v>
      </c>
      <c r="B16" s="93" t="s">
        <v>90</v>
      </c>
      <c r="C16" s="40" t="s">
        <v>544</v>
      </c>
      <c r="D16" s="93" t="s">
        <v>538</v>
      </c>
      <c r="E16" s="93" t="s">
        <v>113</v>
      </c>
      <c r="F16" s="93" t="s">
        <v>106</v>
      </c>
      <c r="G16" s="93" t="s">
        <v>539</v>
      </c>
    </row>
    <row r="17" spans="1:7" s="32" customFormat="1" ht="19.8">
      <c r="A17" s="45">
        <v>1</v>
      </c>
      <c r="B17" s="111" t="s">
        <v>578</v>
      </c>
      <c r="C17" s="21" t="s">
        <v>577</v>
      </c>
      <c r="D17" s="90">
        <v>510</v>
      </c>
      <c r="E17" s="21">
        <v>2</v>
      </c>
      <c r="F17" s="23">
        <f>$E$15*E17</f>
        <v>8</v>
      </c>
      <c r="G17" s="24">
        <f>IF(E48&gt;1,IF(E48=3,('B52'!$N$16*F17*D17/100),('B52'!$J$16*F17*D17/100)),('B52'!$R$16*F17*D17/100))</f>
        <v>65.367183688370062</v>
      </c>
    </row>
    <row r="18" spans="1:7" s="32" customFormat="1" ht="19.8">
      <c r="A18" s="45">
        <v>2</v>
      </c>
      <c r="B18" s="111" t="s">
        <v>579</v>
      </c>
      <c r="C18" s="21" t="s">
        <v>577</v>
      </c>
      <c r="D18" s="90">
        <v>480</v>
      </c>
      <c r="E18" s="21">
        <v>2</v>
      </c>
      <c r="F18" s="23">
        <f t="shared" ref="F18:F19" si="0">$E$15*E18</f>
        <v>8</v>
      </c>
      <c r="G18" s="24">
        <f>IF(E48&gt;1,IF(E48=3,('B52'!$N$16*F18*D18/100),('B52'!$J$16*F18*D18/100)),('B52'!$R$16*F18*D18/100))</f>
        <v>61.522055236113005</v>
      </c>
    </row>
    <row r="19" spans="1:7" s="32" customFormat="1" ht="19.8">
      <c r="A19" s="45">
        <v>3</v>
      </c>
      <c r="B19" s="111" t="s">
        <v>580</v>
      </c>
      <c r="C19" s="21" t="s">
        <v>577</v>
      </c>
      <c r="D19" s="90">
        <v>400</v>
      </c>
      <c r="E19" s="21">
        <v>2</v>
      </c>
      <c r="F19" s="23">
        <f t="shared" si="0"/>
        <v>8</v>
      </c>
      <c r="G19" s="24">
        <f>IF(E48&gt;1,IF(E48=3,('B52'!$N$16*F19*D19/100),('B52'!$J$16*F19*D19/100)),('B52'!$R$16*F19*D19/100))</f>
        <v>51.268379363427499</v>
      </c>
    </row>
    <row r="20" spans="1:7" s="32" customFormat="1" ht="19.8">
      <c r="A20" s="45">
        <v>4</v>
      </c>
      <c r="B20" s="111" t="s">
        <v>583</v>
      </c>
      <c r="C20" s="21" t="s">
        <v>577</v>
      </c>
      <c r="D20" s="34">
        <v>240</v>
      </c>
      <c r="E20" s="21">
        <v>2</v>
      </c>
      <c r="F20" s="21">
        <f>E20*$E$15</f>
        <v>8</v>
      </c>
      <c r="G20" s="24">
        <f>IF(E48&gt;1,IF(E48=3,('B52'!$N$16*F20*D20/100),('B52'!$J$16*F20*D20/100)),('B52'!R$16*F20*D20/100))</f>
        <v>30.761027618056502</v>
      </c>
    </row>
    <row r="21" spans="1:7" s="32" customFormat="1" ht="19.8">
      <c r="A21" s="45">
        <v>5</v>
      </c>
      <c r="B21" s="111" t="s">
        <v>93</v>
      </c>
      <c r="C21" s="21" t="s">
        <v>577</v>
      </c>
      <c r="D21" s="34">
        <f>2*PI()*4450*128/360/10</f>
        <v>994.13954193597021</v>
      </c>
      <c r="E21" s="21">
        <v>1</v>
      </c>
      <c r="F21" s="21">
        <f>E21*$E$15</f>
        <v>4</v>
      </c>
      <c r="G21" s="24">
        <f>IF(E48&gt;1,IF(E48=3,('B52'!$N$16*F21*D21/100),('B52'!$J$16*F21*D21/100)),('B52'!$R$16*F21*D21/100))</f>
        <v>63.709903970196699</v>
      </c>
    </row>
    <row r="22" spans="1:7" s="32" customFormat="1" ht="19.8">
      <c r="A22" s="45">
        <v>6</v>
      </c>
      <c r="B22" s="93" t="s">
        <v>581</v>
      </c>
      <c r="C22" s="21" t="s">
        <v>582</v>
      </c>
      <c r="D22" s="90">
        <v>800</v>
      </c>
      <c r="E22" s="22">
        <v>2</v>
      </c>
      <c r="F22" s="21">
        <f>E22*$E$15</f>
        <v>8</v>
      </c>
      <c r="G22" s="24">
        <f>IF(E48&gt;1,IF(E48=3,('B52'!N$20*F22*D22/100),('B52'!$J$20*F22*D22/100)),('B52'!$R$20*F22*D22/100))</f>
        <v>48.61001895199044</v>
      </c>
    </row>
    <row r="23" spans="1:7" s="32" customFormat="1" ht="19.8">
      <c r="A23" s="287"/>
      <c r="B23" s="384"/>
      <c r="C23" s="384"/>
      <c r="D23" s="384"/>
      <c r="E23" s="385"/>
      <c r="F23" s="93" t="s">
        <v>111</v>
      </c>
      <c r="G23" s="24">
        <f>SUM(G17:G22)</f>
        <v>321.23856882815426</v>
      </c>
    </row>
    <row r="24" spans="1:7" s="32" customFormat="1" ht="19.8">
      <c r="A24" s="359" t="s">
        <v>107</v>
      </c>
      <c r="B24" s="386"/>
      <c r="C24" s="386"/>
      <c r="D24" s="386"/>
      <c r="E24" s="386"/>
      <c r="F24" s="360"/>
      <c r="G24" s="25">
        <f>G23*G15</f>
        <v>642.47713765630851</v>
      </c>
    </row>
    <row r="25" spans="1:7" s="32" customFormat="1" ht="19.8">
      <c r="A25" s="28"/>
      <c r="B25" s="19"/>
      <c r="C25" s="19"/>
      <c r="D25" s="19"/>
    </row>
    <row r="26" spans="1:7" s="32" customFormat="1" ht="19.8">
      <c r="A26" s="375" t="s">
        <v>540</v>
      </c>
      <c r="B26" s="376"/>
      <c r="C26" s="377"/>
      <c r="D26" s="93" t="s">
        <v>88</v>
      </c>
      <c r="E26" s="23">
        <f>$D$9</f>
        <v>4</v>
      </c>
      <c r="F26" s="93" t="s">
        <v>108</v>
      </c>
      <c r="G26" s="23">
        <f>E13-2</f>
        <v>101</v>
      </c>
    </row>
    <row r="27" spans="1:7" s="32" customFormat="1" ht="19.8">
      <c r="A27" s="93" t="s">
        <v>89</v>
      </c>
      <c r="B27" s="93" t="s">
        <v>90</v>
      </c>
      <c r="C27" s="40" t="s">
        <v>544</v>
      </c>
      <c r="D27" s="93" t="s">
        <v>538</v>
      </c>
      <c r="E27" s="93" t="s">
        <v>113</v>
      </c>
      <c r="F27" s="93" t="s">
        <v>106</v>
      </c>
      <c r="G27" s="93" t="s">
        <v>539</v>
      </c>
    </row>
    <row r="28" spans="1:7" s="32" customFormat="1" ht="19.8">
      <c r="A28" s="45">
        <v>1</v>
      </c>
      <c r="B28" s="111" t="s">
        <v>586</v>
      </c>
      <c r="C28" s="21" t="s">
        <v>589</v>
      </c>
      <c r="D28" s="90">
        <v>330</v>
      </c>
      <c r="E28" s="21">
        <v>1</v>
      </c>
      <c r="F28" s="21">
        <f t="shared" ref="F28:F30" si="1">E28*$E$15</f>
        <v>4</v>
      </c>
      <c r="G28" s="24">
        <f>IF(E48&gt;1,IF(E48=3,('B52'!$N$18*F28*D28/100),('B52'!$J$18*F28*D28/100)),('B52'!$R$18*F28*D28/100))</f>
        <v>10.025816408848028</v>
      </c>
    </row>
    <row r="29" spans="1:7" s="32" customFormat="1" ht="19.8">
      <c r="A29" s="45">
        <v>2</v>
      </c>
      <c r="B29" s="111" t="s">
        <v>584</v>
      </c>
      <c r="C29" s="21" t="s">
        <v>588</v>
      </c>
      <c r="D29" s="90">
        <v>800</v>
      </c>
      <c r="E29" s="21">
        <v>1</v>
      </c>
      <c r="F29" s="21">
        <f t="shared" si="1"/>
        <v>4</v>
      </c>
      <c r="G29" s="24">
        <f>IF(E48&gt;1,IF(E48=3,('B52'!$N$19*F29*D29/100),('B52'!$J$19*F29*D29/100)),('B52'!$R$19*F29*D29/100))</f>
        <v>40.381760535637923</v>
      </c>
    </row>
    <row r="30" spans="1:7" s="32" customFormat="1" ht="19.8">
      <c r="A30" s="45">
        <v>3</v>
      </c>
      <c r="B30" s="111" t="s">
        <v>585</v>
      </c>
      <c r="C30" s="21" t="s">
        <v>582</v>
      </c>
      <c r="D30" s="90">
        <v>100</v>
      </c>
      <c r="E30" s="21">
        <v>6</v>
      </c>
      <c r="F30" s="21">
        <f t="shared" si="1"/>
        <v>24</v>
      </c>
      <c r="G30" s="24">
        <f>IF(E48&gt;1,IF(E48=3,('B52'!$N$20*F30*D30/100),('B52'!$J$20*F30*D30/100)),('B52'!$R$20*F30*D30/100))</f>
        <v>18.228757106996415</v>
      </c>
    </row>
    <row r="31" spans="1:7" s="32" customFormat="1" ht="19.8">
      <c r="A31" s="45">
        <v>4</v>
      </c>
      <c r="B31" s="111" t="s">
        <v>587</v>
      </c>
      <c r="C31" s="21" t="s">
        <v>572</v>
      </c>
      <c r="D31" s="90">
        <v>100</v>
      </c>
      <c r="E31" s="21">
        <v>6</v>
      </c>
      <c r="F31" s="21">
        <f>E31</f>
        <v>6</v>
      </c>
      <c r="G31" s="24">
        <f>IF(E48&gt;1,IF(E48=3,('B52'!$N$20*F31*D31/100),('B52'!$J$20*F31*D31/100)),('B52'!$R$20*F31*D31/100))</f>
        <v>4.5571892767491038</v>
      </c>
    </row>
    <row r="32" spans="1:7" s="32" customFormat="1" ht="19.8">
      <c r="A32" s="45">
        <v>5</v>
      </c>
      <c r="B32" s="111" t="s">
        <v>583</v>
      </c>
      <c r="C32" s="21" t="s">
        <v>577</v>
      </c>
      <c r="D32" s="34">
        <v>240</v>
      </c>
      <c r="E32" s="21">
        <v>2</v>
      </c>
      <c r="F32" s="21">
        <f>E32*$E$15</f>
        <v>8</v>
      </c>
      <c r="G32" s="24">
        <f>IF(E48&gt;1,IF(E48=3,('B52'!$N$16*F32*D32/100),('B52'!$J$16*F32*D32/100)),('B52'!$R$16*F32*D32/100))</f>
        <v>30.761027618056502</v>
      </c>
    </row>
    <row r="33" spans="1:7" s="32" customFormat="1" ht="19.8">
      <c r="A33" s="45">
        <v>6</v>
      </c>
      <c r="B33" s="111" t="s">
        <v>93</v>
      </c>
      <c r="C33" s="21" t="s">
        <v>577</v>
      </c>
      <c r="D33" s="34">
        <f>2*PI()*4450*128/360/10</f>
        <v>994.13954193597021</v>
      </c>
      <c r="E33" s="21">
        <v>1</v>
      </c>
      <c r="F33" s="21">
        <f>E33*$E$15</f>
        <v>4</v>
      </c>
      <c r="G33" s="24">
        <f>IF(E48&gt;1,IF(E48=3,'B52'!$N$16*F33*D33/100,'B52'!$J$16*F33*D33/100),'B52'!$R$16*F33*D33/100)</f>
        <v>63.709903970196699</v>
      </c>
    </row>
    <row r="34" spans="1:7" s="32" customFormat="1" ht="19.8">
      <c r="A34" s="287"/>
      <c r="B34" s="384"/>
      <c r="C34" s="384"/>
      <c r="D34" s="384"/>
      <c r="E34" s="385"/>
      <c r="F34" s="93" t="s">
        <v>111</v>
      </c>
      <c r="G34" s="24">
        <f>SUM(G28:G33)</f>
        <v>167.66445491648466</v>
      </c>
    </row>
    <row r="35" spans="1:7" s="32" customFormat="1" ht="19.8">
      <c r="A35" s="359" t="s">
        <v>110</v>
      </c>
      <c r="B35" s="386"/>
      <c r="C35" s="386"/>
      <c r="D35" s="386"/>
      <c r="E35" s="386"/>
      <c r="F35" s="360" t="s">
        <v>110</v>
      </c>
      <c r="G35" s="25">
        <f>G34*G26</f>
        <v>16934.109946564949</v>
      </c>
    </row>
    <row r="36" spans="1:7" s="32" customFormat="1" ht="19.8"/>
    <row r="37" spans="1:7" s="32" customFormat="1" ht="19.8"/>
    <row r="38" spans="1:7" s="32" customFormat="1" ht="19.8">
      <c r="A38" s="359" t="s">
        <v>119</v>
      </c>
      <c r="B38" s="386"/>
      <c r="C38" s="386"/>
      <c r="D38" s="386"/>
      <c r="E38" s="386"/>
      <c r="F38" s="360" t="s">
        <v>110</v>
      </c>
      <c r="G38" s="25">
        <f>G24+G35</f>
        <v>17576.587084221257</v>
      </c>
    </row>
    <row r="39" spans="1:7" s="32" customFormat="1" ht="19.8">
      <c r="A39" s="295" t="s">
        <v>123</v>
      </c>
      <c r="B39" s="296"/>
      <c r="C39" s="27">
        <f>$F$4</f>
        <v>36</v>
      </c>
      <c r="D39" s="106"/>
      <c r="E39" s="106"/>
      <c r="F39" s="107" t="s">
        <v>121</v>
      </c>
      <c r="G39" s="25">
        <f>G38*C39</f>
        <v>632757.13503196521</v>
      </c>
    </row>
    <row r="43" spans="1:7" ht="19.8">
      <c r="A43" s="163" t="s">
        <v>748</v>
      </c>
      <c r="B43" s="162" t="s">
        <v>743</v>
      </c>
      <c r="C43" s="162"/>
      <c r="D43" s="162" t="s">
        <v>749</v>
      </c>
    </row>
    <row r="44" spans="1:7" ht="19.8">
      <c r="A44" s="159">
        <v>1</v>
      </c>
      <c r="B44" s="162" t="s">
        <v>746</v>
      </c>
      <c r="C44" s="164">
        <f>IF($F$2=B44,1,0)</f>
        <v>1</v>
      </c>
      <c r="D44" s="164">
        <v>0</v>
      </c>
      <c r="E44" s="164">
        <f>IF($F$2=B44,1,0)</f>
        <v>1</v>
      </c>
    </row>
    <row r="45" spans="1:7" ht="19.8">
      <c r="A45" s="159">
        <v>2</v>
      </c>
      <c r="B45" s="162" t="s">
        <v>744</v>
      </c>
      <c r="C45" s="164">
        <f>IF($F$2=B45,1,0)</f>
        <v>0</v>
      </c>
      <c r="D45" s="164">
        <v>0</v>
      </c>
      <c r="E45" s="164">
        <f>IF($F$2=B45,2,0)</f>
        <v>0</v>
      </c>
    </row>
    <row r="46" spans="1:7" ht="19.8">
      <c r="A46" s="159">
        <v>3</v>
      </c>
      <c r="B46" s="162" t="s">
        <v>745</v>
      </c>
      <c r="C46" s="164">
        <f t="shared" ref="C46" si="2">IF($F$2=B46,1,0)</f>
        <v>0</v>
      </c>
      <c r="D46" s="164">
        <f>IF(C46=1,1,0)</f>
        <v>0</v>
      </c>
      <c r="E46" s="164">
        <f>IF($F$2=B46,3,0)</f>
        <v>0</v>
      </c>
    </row>
    <row r="47" spans="1:7" ht="18">
      <c r="D47" s="164">
        <f>SUM(D44:D46)</f>
        <v>0</v>
      </c>
      <c r="E47" s="164">
        <f>SUM(E44:E46)</f>
        <v>1</v>
      </c>
    </row>
    <row r="48" spans="1:7" ht="19.8">
      <c r="D48" s="160" t="s">
        <v>747</v>
      </c>
      <c r="E48" s="164">
        <f>E47</f>
        <v>1</v>
      </c>
    </row>
  </sheetData>
  <mergeCells count="13">
    <mergeCell ref="A35:F35"/>
    <mergeCell ref="A39:B39"/>
    <mergeCell ref="A38:F38"/>
    <mergeCell ref="A15:C15"/>
    <mergeCell ref="A23:E23"/>
    <mergeCell ref="A24:F24"/>
    <mergeCell ref="A26:C26"/>
    <mergeCell ref="A34:E34"/>
    <mergeCell ref="A1:B1"/>
    <mergeCell ref="B6:D6"/>
    <mergeCell ref="B7:D7"/>
    <mergeCell ref="B8:C8"/>
    <mergeCell ref="B9:C9"/>
  </mergeCells>
  <phoneticPr fontId="1" type="noConversion"/>
  <dataValidations count="1">
    <dataValidation type="list" allowBlank="1" showInputMessage="1" showErrorMessage="1" sqref="F2">
      <formula1>"原型,強化,輕量化"</formula1>
    </dataValidation>
  </dataValidations>
  <hyperlinks>
    <hyperlink ref="C16" location="溫室構件!A1" display="構件編號"/>
    <hyperlink ref="C27" location="溫室構件!A1" display="構件編號"/>
  </hyperlinks>
  <pageMargins left="0.7" right="0.7" top="0.75" bottom="0.75" header="0.3" footer="0.3"/>
  <pageSetup paperSize="9" orientation="portrait" horizontalDpi="1200" verticalDpi="12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workbookViewId="0">
      <selection sqref="A1:B1"/>
    </sheetView>
  </sheetViews>
  <sheetFormatPr defaultRowHeight="16.2"/>
  <cols>
    <col min="1" max="1" width="7.21875" bestFit="1" customWidth="1"/>
    <col min="2" max="2" width="23.21875" customWidth="1"/>
    <col min="3" max="3" width="19.109375" customWidth="1"/>
    <col min="4" max="4" width="17.44140625" customWidth="1"/>
    <col min="5" max="5" width="17.33203125" customWidth="1"/>
    <col min="6" max="6" width="13" bestFit="1" customWidth="1"/>
    <col min="7" max="7" width="23.88671875" bestFit="1" customWidth="1"/>
  </cols>
  <sheetData>
    <row r="1" spans="1:9" ht="22.2">
      <c r="A1" s="378" t="s">
        <v>991</v>
      </c>
      <c r="B1" s="378"/>
      <c r="C1" s="108"/>
    </row>
    <row r="2" spans="1:9" ht="22.2">
      <c r="A2" s="157"/>
      <c r="B2" s="157"/>
      <c r="C2" s="157"/>
      <c r="E2" s="154" t="s">
        <v>743</v>
      </c>
      <c r="F2" s="91" t="s">
        <v>755</v>
      </c>
      <c r="G2" s="153" t="s">
        <v>742</v>
      </c>
      <c r="H2" s="158">
        <f>10+D47</f>
        <v>10</v>
      </c>
      <c r="I2" s="32"/>
    </row>
    <row r="3" spans="1:9" s="32" customFormat="1" ht="19.8">
      <c r="A3" s="52"/>
      <c r="B3" s="52"/>
      <c r="C3" s="52"/>
      <c r="E3" s="130" t="s">
        <v>124</v>
      </c>
      <c r="F3" s="25">
        <f>G40</f>
        <v>19525.375694398972</v>
      </c>
      <c r="G3" s="104" t="s">
        <v>120</v>
      </c>
    </row>
    <row r="4" spans="1:9" s="32" customFormat="1" ht="19.8">
      <c r="A4" s="52"/>
      <c r="B4" s="52"/>
      <c r="C4" s="52"/>
      <c r="E4" s="130" t="s">
        <v>122</v>
      </c>
      <c r="F4" s="25">
        <v>36</v>
      </c>
      <c r="G4" s="105" t="s">
        <v>531</v>
      </c>
    </row>
    <row r="5" spans="1:9" s="32" customFormat="1" ht="19.8">
      <c r="A5" s="52"/>
      <c r="B5" s="52"/>
      <c r="C5" s="52"/>
      <c r="E5" s="130" t="s">
        <v>567</v>
      </c>
      <c r="F5" s="25">
        <f>$G$41</f>
        <v>702913.52499836299</v>
      </c>
      <c r="G5" s="105" t="s">
        <v>125</v>
      </c>
    </row>
    <row r="6" spans="1:9" s="32" customFormat="1" ht="19.8">
      <c r="B6" s="323" t="s">
        <v>827</v>
      </c>
      <c r="C6" s="324"/>
      <c r="D6" s="325"/>
    </row>
    <row r="7" spans="1:9" s="32" customFormat="1" ht="19.8">
      <c r="B7" s="379" t="s">
        <v>639</v>
      </c>
      <c r="C7" s="380"/>
      <c r="D7" s="381"/>
    </row>
    <row r="8" spans="1:9" s="32" customFormat="1" ht="19.8">
      <c r="B8" s="340" t="s">
        <v>532</v>
      </c>
      <c r="C8" s="314"/>
      <c r="D8" s="129" t="s">
        <v>88</v>
      </c>
      <c r="E8" s="129" t="s">
        <v>543</v>
      </c>
    </row>
    <row r="9" spans="1:9" s="32" customFormat="1" ht="19.8">
      <c r="B9" s="382">
        <f>'B42'!I16</f>
        <v>565</v>
      </c>
      <c r="C9" s="383"/>
      <c r="D9" s="34">
        <f>'B42'!L16</f>
        <v>4</v>
      </c>
      <c r="E9" s="34">
        <f>'B42'!E5</f>
        <v>102</v>
      </c>
    </row>
    <row r="10" spans="1:9" s="32" customFormat="1" ht="19.8">
      <c r="A10" s="19"/>
      <c r="B10" s="96" t="s">
        <v>297</v>
      </c>
      <c r="C10" s="96" t="s">
        <v>479</v>
      </c>
      <c r="D10" s="96" t="s">
        <v>480</v>
      </c>
      <c r="E10" s="96" t="s">
        <v>563</v>
      </c>
    </row>
    <row r="11" spans="1:9" s="32" customFormat="1" ht="19.8">
      <c r="A11" s="19"/>
      <c r="B11" s="90">
        <f>'B42'!E15</f>
        <v>550</v>
      </c>
      <c r="C11" s="90">
        <f>'B42'!F15</f>
        <v>240</v>
      </c>
      <c r="D11" s="90">
        <f>'B42'!G15</f>
        <v>310</v>
      </c>
      <c r="E11" s="115">
        <f>'B11'!C29</f>
        <v>698.54545454545462</v>
      </c>
    </row>
    <row r="12" spans="1:9" s="32" customFormat="1" ht="39.6">
      <c r="A12" s="19"/>
      <c r="B12" s="129" t="s">
        <v>482</v>
      </c>
      <c r="C12" s="131" t="s">
        <v>483</v>
      </c>
      <c r="D12" s="96" t="s">
        <v>570</v>
      </c>
      <c r="E12" s="96" t="s">
        <v>108</v>
      </c>
      <c r="F12" s="96" t="s">
        <v>569</v>
      </c>
    </row>
    <row r="13" spans="1:9" s="32" customFormat="1" ht="19.8">
      <c r="A13" s="19"/>
      <c r="B13" s="90">
        <f>'B42'!J15</f>
        <v>100</v>
      </c>
      <c r="C13" s="20">
        <f>'B42'!K15</f>
        <v>100</v>
      </c>
      <c r="D13" s="20">
        <v>500</v>
      </c>
      <c r="E13" s="90">
        <f>INT((E9*100-200)/B13)+(200/C13)+1</f>
        <v>103</v>
      </c>
      <c r="F13" s="90">
        <f>INT((E9*100)/D13+2)</f>
        <v>22</v>
      </c>
    </row>
    <row r="14" spans="1:9" ht="17.399999999999999">
      <c r="A14" s="19"/>
      <c r="B14" s="19"/>
      <c r="C14" s="19"/>
      <c r="D14" s="19"/>
    </row>
    <row r="15" spans="1:9" s="32" customFormat="1" ht="19.8">
      <c r="A15" s="375" t="s">
        <v>537</v>
      </c>
      <c r="B15" s="376"/>
      <c r="C15" s="377"/>
      <c r="D15" s="129" t="s">
        <v>88</v>
      </c>
      <c r="E15" s="23">
        <f>$D$9</f>
        <v>4</v>
      </c>
      <c r="F15" s="129" t="s">
        <v>109</v>
      </c>
      <c r="G15" s="21">
        <v>2</v>
      </c>
    </row>
    <row r="16" spans="1:9" s="32" customFormat="1" ht="19.8">
      <c r="A16" s="129" t="s">
        <v>89</v>
      </c>
      <c r="B16" s="129" t="s">
        <v>90</v>
      </c>
      <c r="C16" s="40" t="s">
        <v>544</v>
      </c>
      <c r="D16" s="129" t="s">
        <v>538</v>
      </c>
      <c r="E16" s="129" t="s">
        <v>113</v>
      </c>
      <c r="F16" s="129" t="s">
        <v>106</v>
      </c>
      <c r="G16" s="129" t="s">
        <v>539</v>
      </c>
    </row>
    <row r="17" spans="1:7" s="32" customFormat="1" ht="19.8">
      <c r="A17" s="45">
        <v>1</v>
      </c>
      <c r="B17" s="129" t="s">
        <v>578</v>
      </c>
      <c r="C17" s="21" t="s">
        <v>571</v>
      </c>
      <c r="D17" s="90">
        <v>510</v>
      </c>
      <c r="E17" s="21">
        <v>1</v>
      </c>
      <c r="F17" s="23">
        <f>$E$15*E17</f>
        <v>4</v>
      </c>
      <c r="G17" s="24">
        <f>IF($E$48&gt;1,IF($E$48=3,'B52'!$N$16*F17*D17/100,'B52'!$J$16*F17*D17/100),'B52'!$R$16*F17*D17/100)</f>
        <v>32.683591844185031</v>
      </c>
    </row>
    <row r="18" spans="1:7" s="32" customFormat="1" ht="19.8">
      <c r="A18" s="45">
        <v>2</v>
      </c>
      <c r="B18" s="129" t="s">
        <v>579</v>
      </c>
      <c r="C18" s="21" t="s">
        <v>571</v>
      </c>
      <c r="D18" s="90">
        <v>490</v>
      </c>
      <c r="E18" s="21">
        <v>2</v>
      </c>
      <c r="F18" s="23">
        <f t="shared" ref="F18:F19" si="0">$E$15*E18</f>
        <v>8</v>
      </c>
      <c r="G18" s="24">
        <f>IF($E$48&gt;1,IF($E$48=3,'B52'!$N$16*F18*D18/100,'B52'!$J$16*F18*D18/100),'B52'!$R$16*F18*D18/100)</f>
        <v>62.803764720198686</v>
      </c>
    </row>
    <row r="19" spans="1:7" s="32" customFormat="1" ht="19.8">
      <c r="A19" s="45">
        <v>3</v>
      </c>
      <c r="B19" s="129" t="s">
        <v>580</v>
      </c>
      <c r="C19" s="21" t="s">
        <v>571</v>
      </c>
      <c r="D19" s="90">
        <v>450</v>
      </c>
      <c r="E19" s="21">
        <v>2</v>
      </c>
      <c r="F19" s="23">
        <f t="shared" si="0"/>
        <v>8</v>
      </c>
      <c r="G19" s="24">
        <f>IF($E$48&gt;1,IF($E$48=3,'B52'!$N$16*F19*D19/100,'B52'!$J$16*F19*D19/100),'B52'!$R$16*F19*D19/100)</f>
        <v>57.676926783855933</v>
      </c>
    </row>
    <row r="20" spans="1:7" s="32" customFormat="1" ht="19.8">
      <c r="A20" s="45">
        <v>4</v>
      </c>
      <c r="B20" s="134" t="s">
        <v>580</v>
      </c>
      <c r="C20" s="21" t="s">
        <v>571</v>
      </c>
      <c r="D20" s="90">
        <v>380</v>
      </c>
      <c r="E20" s="21">
        <v>2</v>
      </c>
      <c r="F20" s="23">
        <f t="shared" ref="F20" si="1">$E$15*E20</f>
        <v>8</v>
      </c>
      <c r="G20" s="24">
        <f>IF($E$48&gt;1,IF($E$48=3,'B52'!$N$16*F20*D20/100,'B52'!$J$16*F20*D20/100),'B52'!$R$16*F20*D20/100)</f>
        <v>48.704960395256123</v>
      </c>
    </row>
    <row r="21" spans="1:7" s="32" customFormat="1" ht="19.8">
      <c r="A21" s="45">
        <v>5</v>
      </c>
      <c r="B21" s="129" t="s">
        <v>583</v>
      </c>
      <c r="C21" s="21" t="s">
        <v>571</v>
      </c>
      <c r="D21" s="34">
        <v>240</v>
      </c>
      <c r="E21" s="21">
        <v>2</v>
      </c>
      <c r="F21" s="21">
        <f>E21*$E$15</f>
        <v>8</v>
      </c>
      <c r="G21" s="24">
        <f>IF($E$48&gt;1,IF($E$48=3,'B52'!$N$16*F21*D21/100,'B52'!$J$16*F21*D21/100),'B52'!$R$16*F21*D21/100)</f>
        <v>30.761027618056502</v>
      </c>
    </row>
    <row r="22" spans="1:7" s="32" customFormat="1" ht="19.8">
      <c r="A22" s="45">
        <v>6</v>
      </c>
      <c r="B22" s="129" t="s">
        <v>93</v>
      </c>
      <c r="C22" s="21" t="s">
        <v>571</v>
      </c>
      <c r="D22" s="34">
        <f>2*PI()*5100*123/360/10</f>
        <v>1094.845039776043</v>
      </c>
      <c r="E22" s="21">
        <v>1</v>
      </c>
      <c r="F22" s="21">
        <f>E22*$E$15</f>
        <v>4</v>
      </c>
      <c r="G22" s="24">
        <f>IF($E$48&gt;1,IF($E$48=3,'B52'!$N$16*F22*D22/100,'B52'!$J$16*F22*D22/100),'B52'!$R$16*F22*D22/100)</f>
        <v>70.163663554256303</v>
      </c>
    </row>
    <row r="23" spans="1:7" s="32" customFormat="1" ht="19.8">
      <c r="A23" s="45">
        <v>7</v>
      </c>
      <c r="B23" s="134" t="s">
        <v>647</v>
      </c>
      <c r="C23" s="21" t="s">
        <v>648</v>
      </c>
      <c r="D23" s="90">
        <v>500</v>
      </c>
      <c r="E23" s="22">
        <v>2</v>
      </c>
      <c r="F23" s="21">
        <f>E23*$E$15</f>
        <v>8</v>
      </c>
      <c r="G23" s="24">
        <f>IF($E$48&gt;1,IF($E$48=3,'B52'!$N$19*F23*D23/100,'B52'!$J$19*F23*D23/100),'B52'!$R$19*F23*D23/100)</f>
        <v>50.4772006695474</v>
      </c>
    </row>
    <row r="24" spans="1:7" s="32" customFormat="1" ht="19.8">
      <c r="A24" s="45">
        <v>8</v>
      </c>
      <c r="B24" s="129" t="s">
        <v>581</v>
      </c>
      <c r="C24" s="21" t="s">
        <v>582</v>
      </c>
      <c r="D24" s="90">
        <v>900</v>
      </c>
      <c r="E24" s="22">
        <v>2</v>
      </c>
      <c r="F24" s="21">
        <f>E24*$E$15</f>
        <v>8</v>
      </c>
      <c r="G24" s="24">
        <f>IF($E$48&gt;1,IF($E$48=3,'B52'!$N$20*F24*D24/100,'B52'!$J$20*F24*D24/100),'B52'!$R$20*F24*D24/100)</f>
        <v>54.686271320989242</v>
      </c>
    </row>
    <row r="25" spans="1:7" s="32" customFormat="1" ht="19.8">
      <c r="A25" s="287"/>
      <c r="B25" s="384"/>
      <c r="C25" s="384"/>
      <c r="D25" s="384"/>
      <c r="E25" s="385"/>
      <c r="F25" s="129" t="s">
        <v>111</v>
      </c>
      <c r="G25" s="24">
        <f>SUM(G17:G24)</f>
        <v>407.95740690634523</v>
      </c>
    </row>
    <row r="26" spans="1:7" s="32" customFormat="1" ht="19.8">
      <c r="A26" s="359" t="s">
        <v>107</v>
      </c>
      <c r="B26" s="386"/>
      <c r="C26" s="386"/>
      <c r="D26" s="386"/>
      <c r="E26" s="386"/>
      <c r="F26" s="360"/>
      <c r="G26" s="25">
        <f>G25*G15</f>
        <v>815.91481381269045</v>
      </c>
    </row>
    <row r="27" spans="1:7" s="32" customFormat="1" ht="19.8">
      <c r="A27" s="28"/>
      <c r="B27" s="19"/>
      <c r="C27" s="19"/>
      <c r="D27" s="19"/>
      <c r="G27" s="32">
        <f>IF($E$48&gt;1,IF($E$48=3,11,10),9)</f>
        <v>9</v>
      </c>
    </row>
    <row r="28" spans="1:7" s="32" customFormat="1" ht="19.8">
      <c r="A28" s="375" t="s">
        <v>540</v>
      </c>
      <c r="B28" s="376"/>
      <c r="C28" s="377"/>
      <c r="D28" s="129" t="s">
        <v>88</v>
      </c>
      <c r="E28" s="23">
        <f>$D$9</f>
        <v>4</v>
      </c>
      <c r="F28" s="129" t="s">
        <v>108</v>
      </c>
      <c r="G28" s="23">
        <f>E13-2</f>
        <v>101</v>
      </c>
    </row>
    <row r="29" spans="1:7" s="32" customFormat="1" ht="19.8">
      <c r="A29" s="129" t="s">
        <v>89</v>
      </c>
      <c r="B29" s="129" t="s">
        <v>90</v>
      </c>
      <c r="C29" s="40" t="s">
        <v>544</v>
      </c>
      <c r="D29" s="129" t="s">
        <v>538</v>
      </c>
      <c r="E29" s="129" t="s">
        <v>113</v>
      </c>
      <c r="F29" s="129" t="s">
        <v>106</v>
      </c>
      <c r="G29" s="129" t="s">
        <v>539</v>
      </c>
    </row>
    <row r="30" spans="1:7" s="32" customFormat="1" ht="19.8">
      <c r="A30" s="45">
        <v>1</v>
      </c>
      <c r="B30" s="129" t="s">
        <v>586</v>
      </c>
      <c r="C30" s="21" t="s">
        <v>574</v>
      </c>
      <c r="D30" s="90">
        <v>330</v>
      </c>
      <c r="E30" s="21">
        <v>1</v>
      </c>
      <c r="F30" s="21">
        <f t="shared" ref="F30:F32" si="2">E30*$E$15</f>
        <v>4</v>
      </c>
      <c r="G30" s="24">
        <f>IF($E$48&gt;1,IF($E$48=3,'B52'!$N$18*F30*D30/100,'B52'!$J$18*F30*D30/100),'B52'!$R$18*F30*D30/100)</f>
        <v>10.025816408848028</v>
      </c>
    </row>
    <row r="31" spans="1:7" s="32" customFormat="1" ht="19.8">
      <c r="A31" s="45">
        <v>2</v>
      </c>
      <c r="B31" s="129" t="s">
        <v>584</v>
      </c>
      <c r="C31" s="21" t="s">
        <v>575</v>
      </c>
      <c r="D31" s="90">
        <v>900</v>
      </c>
      <c r="E31" s="21">
        <v>1</v>
      </c>
      <c r="F31" s="21">
        <f t="shared" si="2"/>
        <v>4</v>
      </c>
      <c r="G31" s="24">
        <f>IF($E$48&gt;1,IF($E$48=3,'B52'!$N$19*F31*D31/100,'B52'!$J$19*F31*D31/100),'B52'!$R$19*F31*D31/100)</f>
        <v>45.429480602592669</v>
      </c>
    </row>
    <row r="32" spans="1:7" s="32" customFormat="1" ht="19.8">
      <c r="A32" s="45">
        <v>3</v>
      </c>
      <c r="B32" s="129" t="s">
        <v>585</v>
      </c>
      <c r="C32" s="21" t="s">
        <v>582</v>
      </c>
      <c r="D32" s="90">
        <v>100</v>
      </c>
      <c r="E32" s="21">
        <v>8</v>
      </c>
      <c r="F32" s="21">
        <f t="shared" si="2"/>
        <v>32</v>
      </c>
      <c r="G32" s="24">
        <f>IF($E$48&gt;1,IF($E$48=3,'B52'!$N$20*F32*D32/100,'B52'!$J$20*F32*D32/100),'B52'!$R$20*F32*D32/100)</f>
        <v>24.30500947599522</v>
      </c>
    </row>
    <row r="33" spans="1:7" s="32" customFormat="1" ht="19.8">
      <c r="A33" s="45">
        <v>4</v>
      </c>
      <c r="B33" s="129" t="s">
        <v>587</v>
      </c>
      <c r="C33" s="21" t="s">
        <v>572</v>
      </c>
      <c r="D33" s="90">
        <v>100</v>
      </c>
      <c r="E33" s="21">
        <v>6</v>
      </c>
      <c r="F33" s="21">
        <f>E33</f>
        <v>6</v>
      </c>
      <c r="G33" s="24">
        <f>IF($E$48&gt;1,IF($E$48=3,'B52'!$N$20*F33*D33/100,'B52'!$J$20*F33*D33/100),'B52'!$R$20*F33*D33/100)</f>
        <v>4.5571892767491038</v>
      </c>
    </row>
    <row r="34" spans="1:7" s="32" customFormat="1" ht="19.8">
      <c r="A34" s="45">
        <v>5</v>
      </c>
      <c r="B34" s="129" t="s">
        <v>583</v>
      </c>
      <c r="C34" s="21" t="s">
        <v>571</v>
      </c>
      <c r="D34" s="34">
        <v>240</v>
      </c>
      <c r="E34" s="21">
        <v>2</v>
      </c>
      <c r="F34" s="21">
        <f>E34*$E$15</f>
        <v>8</v>
      </c>
      <c r="G34" s="24">
        <f>IF($E$48&gt;1,IF($E$48=3,'B52'!$N$16*F34*D34/100,'B52'!$J$16*F34*D34/100),'B52'!$R$16*F34*D34/100)</f>
        <v>30.761027618056502</v>
      </c>
    </row>
    <row r="35" spans="1:7" s="32" customFormat="1" ht="19.8">
      <c r="A35" s="45">
        <v>6</v>
      </c>
      <c r="B35" s="129" t="s">
        <v>93</v>
      </c>
      <c r="C35" s="21" t="s">
        <v>571</v>
      </c>
      <c r="D35" s="34">
        <f>2*PI()*5100*123/360/10</f>
        <v>1094.845039776043</v>
      </c>
      <c r="E35" s="21">
        <v>1</v>
      </c>
      <c r="F35" s="21">
        <f>E35*$E$15</f>
        <v>4</v>
      </c>
      <c r="G35" s="24">
        <f>IF($E$48&gt;1,IF($E$48=3,'B52'!$N$16*F35*D35/100,'B52'!$J$16*F35*D35/100),'B52'!$R$16*F35*D35/100)</f>
        <v>70.163663554256303</v>
      </c>
    </row>
    <row r="36" spans="1:7" s="32" customFormat="1" ht="19.8">
      <c r="A36" s="287"/>
      <c r="B36" s="384"/>
      <c r="C36" s="384"/>
      <c r="D36" s="384"/>
      <c r="E36" s="385"/>
      <c r="F36" s="129" t="s">
        <v>111</v>
      </c>
      <c r="G36" s="24">
        <f>SUM(G30:G35)</f>
        <v>185.24218693649783</v>
      </c>
    </row>
    <row r="37" spans="1:7" s="32" customFormat="1" ht="19.8">
      <c r="A37" s="359" t="s">
        <v>110</v>
      </c>
      <c r="B37" s="386"/>
      <c r="C37" s="386"/>
      <c r="D37" s="386"/>
      <c r="E37" s="386"/>
      <c r="F37" s="360" t="s">
        <v>110</v>
      </c>
      <c r="G37" s="25">
        <f>G36*G28</f>
        <v>18709.460880586281</v>
      </c>
    </row>
    <row r="38" spans="1:7" s="32" customFormat="1" ht="19.8"/>
    <row r="39" spans="1:7" s="32" customFormat="1" ht="19.8"/>
    <row r="40" spans="1:7" s="32" customFormat="1" ht="19.8">
      <c r="A40" s="359" t="s">
        <v>119</v>
      </c>
      <c r="B40" s="386"/>
      <c r="C40" s="386"/>
      <c r="D40" s="386"/>
      <c r="E40" s="386"/>
      <c r="F40" s="360" t="s">
        <v>110</v>
      </c>
      <c r="G40" s="25">
        <f>G26+G37</f>
        <v>19525.375694398972</v>
      </c>
    </row>
    <row r="41" spans="1:7" s="32" customFormat="1" ht="19.8">
      <c r="A41" s="295" t="s">
        <v>123</v>
      </c>
      <c r="B41" s="296"/>
      <c r="C41" s="27">
        <f>$F$4</f>
        <v>36</v>
      </c>
      <c r="D41" s="133"/>
      <c r="E41" s="133"/>
      <c r="F41" s="132" t="s">
        <v>121</v>
      </c>
      <c r="G41" s="25">
        <f>G40*C41</f>
        <v>702913.52499836299</v>
      </c>
    </row>
    <row r="43" spans="1:7" ht="19.8">
      <c r="A43" s="163" t="s">
        <v>748</v>
      </c>
      <c r="B43" s="162" t="s">
        <v>743</v>
      </c>
      <c r="C43" s="162"/>
      <c r="D43" s="162" t="s">
        <v>749</v>
      </c>
    </row>
    <row r="44" spans="1:7" ht="19.8">
      <c r="A44" s="159">
        <v>1</v>
      </c>
      <c r="B44" s="162" t="s">
        <v>746</v>
      </c>
      <c r="C44" s="164">
        <f>IF($F$2=B44,1,0)</f>
        <v>1</v>
      </c>
      <c r="D44" s="164">
        <v>0</v>
      </c>
      <c r="E44" s="164">
        <f>IF($F$2=B44,1,0)</f>
        <v>1</v>
      </c>
    </row>
    <row r="45" spans="1:7" ht="19.8">
      <c r="A45" s="159">
        <v>2</v>
      </c>
      <c r="B45" s="162" t="s">
        <v>744</v>
      </c>
      <c r="C45" s="164">
        <f>IF($F$2=B45,1,0)</f>
        <v>0</v>
      </c>
      <c r="D45" s="164">
        <v>0</v>
      </c>
      <c r="E45" s="164">
        <f>IF($F$2=B45,2,0)</f>
        <v>0</v>
      </c>
    </row>
    <row r="46" spans="1:7" ht="19.8">
      <c r="A46" s="159">
        <v>3</v>
      </c>
      <c r="B46" s="162" t="s">
        <v>745</v>
      </c>
      <c r="C46" s="164">
        <f t="shared" ref="C46" si="3">IF($F$2=B46,1,0)</f>
        <v>0</v>
      </c>
      <c r="D46" s="164">
        <f>IF(C46=1,1,0)</f>
        <v>0</v>
      </c>
      <c r="E46" s="164">
        <f>IF($F$2=B46,3,0)</f>
        <v>0</v>
      </c>
    </row>
    <row r="47" spans="1:7" ht="18">
      <c r="D47" s="164">
        <f>SUM(D44:D46)</f>
        <v>0</v>
      </c>
      <c r="E47" s="164">
        <f>SUM(E44:E46)</f>
        <v>1</v>
      </c>
    </row>
    <row r="48" spans="1:7" ht="19.8">
      <c r="D48" s="160" t="s">
        <v>747</v>
      </c>
      <c r="E48" s="164">
        <f>E47</f>
        <v>1</v>
      </c>
    </row>
  </sheetData>
  <mergeCells count="13">
    <mergeCell ref="A15:C15"/>
    <mergeCell ref="A1:B1"/>
    <mergeCell ref="B6:D6"/>
    <mergeCell ref="B7:D7"/>
    <mergeCell ref="B8:C8"/>
    <mergeCell ref="B9:C9"/>
    <mergeCell ref="A41:B41"/>
    <mergeCell ref="A25:E25"/>
    <mergeCell ref="A26:F26"/>
    <mergeCell ref="A28:C28"/>
    <mergeCell ref="A36:E36"/>
    <mergeCell ref="A37:F37"/>
    <mergeCell ref="A40:F40"/>
  </mergeCells>
  <phoneticPr fontId="1" type="noConversion"/>
  <dataValidations count="1">
    <dataValidation type="list" allowBlank="1" showInputMessage="1" showErrorMessage="1" sqref="F2">
      <formula1>"原型,強化,輕量化"</formula1>
    </dataValidation>
  </dataValidations>
  <hyperlinks>
    <hyperlink ref="C16" location="溫室構件!A1" display="構件編號"/>
    <hyperlink ref="C29" location="溫室構件!A1" display="構件編號"/>
  </hyperlinks>
  <pageMargins left="0.7" right="0.7" top="0.75" bottom="0.75" header="0.3" footer="0.3"/>
  <pageSetup paperSize="9" orientation="portrait" horizontalDpi="1200" verticalDpi="12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
  <sheetViews>
    <sheetView workbookViewId="0">
      <selection activeCell="G10" sqref="G10"/>
    </sheetView>
  </sheetViews>
  <sheetFormatPr defaultRowHeight="16.2"/>
  <cols>
    <col min="1" max="1" width="7.21875" bestFit="1" customWidth="1"/>
    <col min="2" max="2" width="27" customWidth="1"/>
    <col min="3" max="3" width="19.109375" customWidth="1"/>
    <col min="4" max="4" width="17.44140625" customWidth="1"/>
    <col min="5" max="5" width="17.33203125" customWidth="1"/>
    <col min="6" max="6" width="13" bestFit="1" customWidth="1"/>
    <col min="7" max="7" width="23.88671875" bestFit="1" customWidth="1"/>
    <col min="8" max="8" width="11.44140625" bestFit="1" customWidth="1"/>
  </cols>
  <sheetData>
    <row r="1" spans="1:8" ht="22.2">
      <c r="A1" s="378" t="s">
        <v>990</v>
      </c>
      <c r="B1" s="378"/>
      <c r="C1" s="108"/>
    </row>
    <row r="2" spans="1:8" s="32" customFormat="1" ht="19.8">
      <c r="A2" s="52"/>
      <c r="B2" s="52"/>
      <c r="C2" s="52"/>
      <c r="D2" s="98"/>
      <c r="E2" s="169" t="s">
        <v>743</v>
      </c>
      <c r="F2" s="91" t="s">
        <v>755</v>
      </c>
      <c r="G2" s="165" t="s">
        <v>742</v>
      </c>
      <c r="H2" s="158">
        <f>12+D67</f>
        <v>12</v>
      </c>
    </row>
    <row r="3" spans="1:8" s="32" customFormat="1" ht="19.8">
      <c r="A3" s="52"/>
      <c r="B3" s="52"/>
      <c r="C3" s="52"/>
      <c r="E3" s="103" t="s">
        <v>124</v>
      </c>
      <c r="F3" s="25">
        <f>G25+G37+G45+G53</f>
        <v>31397.55572139733</v>
      </c>
      <c r="G3" s="104" t="s">
        <v>120</v>
      </c>
    </row>
    <row r="4" spans="1:8" s="32" customFormat="1" ht="19.8">
      <c r="A4" s="52"/>
      <c r="B4" s="52"/>
      <c r="C4" s="52"/>
      <c r="E4" s="103" t="s">
        <v>122</v>
      </c>
      <c r="F4" s="25">
        <v>36</v>
      </c>
      <c r="G4" s="105" t="s">
        <v>531</v>
      </c>
    </row>
    <row r="5" spans="1:8" s="32" customFormat="1" ht="19.8">
      <c r="A5" s="52"/>
      <c r="B5" s="52"/>
      <c r="C5" s="52"/>
      <c r="E5" s="103" t="s">
        <v>126</v>
      </c>
      <c r="F5" s="25">
        <f>$G$56</f>
        <v>1130312.0059703039</v>
      </c>
      <c r="G5" s="105" t="s">
        <v>125</v>
      </c>
    </row>
    <row r="6" spans="1:8" s="32" customFormat="1" ht="19.8">
      <c r="B6" s="323" t="s">
        <v>827</v>
      </c>
      <c r="C6" s="324"/>
      <c r="D6" s="325"/>
    </row>
    <row r="7" spans="1:8" s="32" customFormat="1" ht="19.8">
      <c r="B7" s="379" t="s">
        <v>565</v>
      </c>
      <c r="C7" s="380"/>
      <c r="D7" s="381"/>
    </row>
    <row r="8" spans="1:8" s="32" customFormat="1" ht="19.8">
      <c r="B8" s="340" t="s">
        <v>532</v>
      </c>
      <c r="C8" s="314"/>
      <c r="D8" s="84" t="s">
        <v>88</v>
      </c>
      <c r="E8" s="84" t="s">
        <v>543</v>
      </c>
    </row>
    <row r="9" spans="1:8" s="32" customFormat="1" ht="19.8">
      <c r="B9" s="382">
        <f>'B42'!I17</f>
        <v>565</v>
      </c>
      <c r="C9" s="383"/>
      <c r="D9" s="34">
        <f>'B42'!L17</f>
        <v>4</v>
      </c>
      <c r="E9" s="34">
        <f>'B42'!E5</f>
        <v>102</v>
      </c>
    </row>
    <row r="10" spans="1:8" s="32" customFormat="1" ht="19.8">
      <c r="A10" s="19"/>
      <c r="B10" s="96" t="s">
        <v>297</v>
      </c>
      <c r="C10" s="96" t="s">
        <v>533</v>
      </c>
      <c r="D10" s="96" t="s">
        <v>534</v>
      </c>
      <c r="E10" s="96" t="s">
        <v>563</v>
      </c>
    </row>
    <row r="11" spans="1:8" s="32" customFormat="1" ht="19.8">
      <c r="A11" s="19"/>
      <c r="B11" s="90">
        <f>'B42'!E17</f>
        <v>550</v>
      </c>
      <c r="C11" s="90">
        <f>'B42'!F17</f>
        <v>400</v>
      </c>
      <c r="D11" s="90">
        <f>'B42'!G17</f>
        <v>150</v>
      </c>
      <c r="E11" s="115">
        <f>'B11'!C29</f>
        <v>698.54545454545462</v>
      </c>
    </row>
    <row r="12" spans="1:8" s="32" customFormat="1" ht="39.6">
      <c r="A12" s="19"/>
      <c r="B12" s="84" t="s">
        <v>535</v>
      </c>
      <c r="C12" s="89" t="s">
        <v>536</v>
      </c>
      <c r="D12" s="96" t="s">
        <v>108</v>
      </c>
      <c r="E12" s="96" t="s">
        <v>114</v>
      </c>
    </row>
    <row r="13" spans="1:8" s="32" customFormat="1" ht="19.8">
      <c r="A13" s="19"/>
      <c r="B13" s="90">
        <f>'B42'!J17</f>
        <v>400</v>
      </c>
      <c r="C13" s="20">
        <f>'B42'!K17</f>
        <v>400</v>
      </c>
      <c r="D13" s="90">
        <f>INT((E9*100-800)/B13)+(800/C13)+1</f>
        <v>26</v>
      </c>
      <c r="E13" s="90">
        <f>(D13-1)*2</f>
        <v>50</v>
      </c>
    </row>
    <row r="14" spans="1:8" ht="17.399999999999999">
      <c r="A14" s="19"/>
      <c r="B14" s="19"/>
      <c r="C14" s="19"/>
      <c r="D14" s="19"/>
    </row>
    <row r="15" spans="1:8" s="32" customFormat="1" ht="19.8">
      <c r="A15" s="375" t="s">
        <v>537</v>
      </c>
      <c r="B15" s="376"/>
      <c r="C15" s="377"/>
      <c r="D15" s="84" t="s">
        <v>88</v>
      </c>
      <c r="E15" s="23">
        <f>$D$9</f>
        <v>4</v>
      </c>
      <c r="F15" s="84" t="s">
        <v>109</v>
      </c>
      <c r="G15" s="21">
        <v>2</v>
      </c>
    </row>
    <row r="16" spans="1:8" s="32" customFormat="1" ht="19.8">
      <c r="A16" s="84" t="s">
        <v>89</v>
      </c>
      <c r="B16" s="84" t="s">
        <v>90</v>
      </c>
      <c r="C16" s="40" t="s">
        <v>544</v>
      </c>
      <c r="D16" s="84" t="s">
        <v>538</v>
      </c>
      <c r="E16" s="84" t="s">
        <v>113</v>
      </c>
      <c r="F16" s="84" t="s">
        <v>106</v>
      </c>
      <c r="G16" s="84" t="s">
        <v>539</v>
      </c>
    </row>
    <row r="17" spans="1:7" s="32" customFormat="1" ht="19.8">
      <c r="A17" s="45">
        <v>1</v>
      </c>
      <c r="B17" s="84" t="s">
        <v>91</v>
      </c>
      <c r="C17" s="21" t="s">
        <v>545</v>
      </c>
      <c r="D17" s="90">
        <f>$C$11</f>
        <v>400</v>
      </c>
      <c r="E17" s="21">
        <v>2</v>
      </c>
      <c r="F17" s="23">
        <f>$E$15+1</f>
        <v>5</v>
      </c>
      <c r="G17" s="24">
        <f>'B52'!J25*F17*D17/100</f>
        <v>272.30200000000002</v>
      </c>
    </row>
    <row r="18" spans="1:7" s="32" customFormat="1" ht="19.8">
      <c r="A18" s="45">
        <v>2</v>
      </c>
      <c r="B18" s="84" t="s">
        <v>92</v>
      </c>
      <c r="C18" s="21" t="s">
        <v>546</v>
      </c>
      <c r="D18" s="90">
        <f>$C$11-50</f>
        <v>350</v>
      </c>
      <c r="E18" s="21">
        <v>1</v>
      </c>
      <c r="F18" s="23">
        <f>$D$9</f>
        <v>4</v>
      </c>
      <c r="G18" s="24">
        <f>'B52'!J6*F18*D18/100</f>
        <v>80.1052672</v>
      </c>
    </row>
    <row r="19" spans="1:7" s="32" customFormat="1" ht="19.8">
      <c r="A19" s="45">
        <v>3</v>
      </c>
      <c r="B19" s="84" t="s">
        <v>93</v>
      </c>
      <c r="C19" s="21" t="s">
        <v>548</v>
      </c>
      <c r="D19" s="90">
        <v>660</v>
      </c>
      <c r="E19" s="21">
        <v>1</v>
      </c>
      <c r="F19" s="21">
        <f>E19*$E$15</f>
        <v>4</v>
      </c>
      <c r="G19" s="24">
        <f>'B52'!J12*F19*D19/100</f>
        <v>47.348484524598753</v>
      </c>
    </row>
    <row r="20" spans="1:7" s="32" customFormat="1" ht="19.8">
      <c r="A20" s="45">
        <v>4</v>
      </c>
      <c r="B20" s="84" t="s">
        <v>105</v>
      </c>
      <c r="C20" s="21" t="s">
        <v>549</v>
      </c>
      <c r="D20" s="90">
        <v>600</v>
      </c>
      <c r="E20" s="21">
        <v>1</v>
      </c>
      <c r="F20" s="21">
        <f>E20*$E$15</f>
        <v>4</v>
      </c>
      <c r="G20" s="24">
        <f>'B52'!J13*F20*D20/100</f>
        <v>33.858492204596907</v>
      </c>
    </row>
    <row r="21" spans="1:7" s="32" customFormat="1" ht="19.8">
      <c r="A21" s="45">
        <v>5</v>
      </c>
      <c r="B21" s="84" t="s">
        <v>95</v>
      </c>
      <c r="C21" s="21" t="s">
        <v>550</v>
      </c>
      <c r="D21" s="90">
        <v>600</v>
      </c>
      <c r="E21" s="21">
        <v>2</v>
      </c>
      <c r="F21" s="21">
        <f>E21*$E$15</f>
        <v>8</v>
      </c>
      <c r="G21" s="24">
        <f>'B52'!J7*F21*D21/100</f>
        <v>129.94943999999998</v>
      </c>
    </row>
    <row r="22" spans="1:7" s="32" customFormat="1" ht="19.8">
      <c r="A22" s="45">
        <v>6</v>
      </c>
      <c r="B22" s="84" t="s">
        <v>96</v>
      </c>
      <c r="C22" s="21" t="s">
        <v>551</v>
      </c>
      <c r="D22" s="90">
        <v>600</v>
      </c>
      <c r="E22" s="22">
        <v>1</v>
      </c>
      <c r="F22" s="21">
        <f>E22*$E$15</f>
        <v>4</v>
      </c>
      <c r="G22" s="24">
        <f>'B52'!J8*F22*D22/100</f>
        <v>26.632080000000006</v>
      </c>
    </row>
    <row r="23" spans="1:7" s="32" customFormat="1" ht="19.8">
      <c r="A23" s="45">
        <v>7</v>
      </c>
      <c r="B23" s="84" t="s">
        <v>97</v>
      </c>
      <c r="C23" s="21" t="s">
        <v>552</v>
      </c>
      <c r="D23" s="90">
        <v>600</v>
      </c>
      <c r="E23" s="22">
        <v>2</v>
      </c>
      <c r="F23" s="21">
        <f>E23*$E$15</f>
        <v>8</v>
      </c>
      <c r="G23" s="24">
        <f>'B52'!J30*F23*D23/100</f>
        <v>161.43195839999987</v>
      </c>
    </row>
    <row r="24" spans="1:7" s="32" customFormat="1" ht="19.8">
      <c r="A24" s="287"/>
      <c r="B24" s="384"/>
      <c r="C24" s="384"/>
      <c r="D24" s="384"/>
      <c r="E24" s="385"/>
      <c r="F24" s="84" t="s">
        <v>111</v>
      </c>
      <c r="G24" s="24">
        <f>SUM(G17:G23)</f>
        <v>751.62772232919554</v>
      </c>
    </row>
    <row r="25" spans="1:7" s="32" customFormat="1" ht="19.8">
      <c r="A25" s="359" t="s">
        <v>107</v>
      </c>
      <c r="B25" s="386"/>
      <c r="C25" s="386"/>
      <c r="D25" s="386"/>
      <c r="E25" s="386"/>
      <c r="F25" s="360"/>
      <c r="G25" s="25">
        <f>G24*G15</f>
        <v>1503.2554446583911</v>
      </c>
    </row>
    <row r="26" spans="1:7" s="32" customFormat="1" ht="19.8">
      <c r="A26" s="28"/>
      <c r="B26" s="19"/>
      <c r="C26" s="19"/>
      <c r="D26" s="19"/>
    </row>
    <row r="27" spans="1:7" s="32" customFormat="1" ht="19.8">
      <c r="A27" s="375" t="s">
        <v>540</v>
      </c>
      <c r="B27" s="376"/>
      <c r="C27" s="377"/>
      <c r="D27" s="84" t="s">
        <v>88</v>
      </c>
      <c r="E27" s="23">
        <f>$D$9</f>
        <v>4</v>
      </c>
      <c r="F27" s="84" t="s">
        <v>108</v>
      </c>
      <c r="G27" s="23">
        <f>D13-2</f>
        <v>24</v>
      </c>
    </row>
    <row r="28" spans="1:7" s="32" customFormat="1" ht="19.8">
      <c r="A28" s="84" t="s">
        <v>89</v>
      </c>
      <c r="B28" s="84" t="s">
        <v>90</v>
      </c>
      <c r="C28" s="40" t="s">
        <v>544</v>
      </c>
      <c r="D28" s="84" t="s">
        <v>538</v>
      </c>
      <c r="E28" s="84" t="s">
        <v>113</v>
      </c>
      <c r="F28" s="84" t="s">
        <v>106</v>
      </c>
      <c r="G28" s="84" t="s">
        <v>539</v>
      </c>
    </row>
    <row r="29" spans="1:7" s="32" customFormat="1" ht="19.8">
      <c r="A29" s="45">
        <v>1</v>
      </c>
      <c r="B29" s="84" t="s">
        <v>91</v>
      </c>
      <c r="C29" s="21" t="s">
        <v>545</v>
      </c>
      <c r="D29" s="90">
        <v>400</v>
      </c>
      <c r="E29" s="21">
        <v>2</v>
      </c>
      <c r="F29" s="21">
        <v>9</v>
      </c>
      <c r="G29" s="24">
        <f>'B52'!J25*F29*D29/100</f>
        <v>490.14359999999999</v>
      </c>
    </row>
    <row r="30" spans="1:7" s="32" customFormat="1" ht="19.8">
      <c r="A30" s="45">
        <v>2</v>
      </c>
      <c r="B30" s="84" t="s">
        <v>92</v>
      </c>
      <c r="C30" s="21" t="s">
        <v>546</v>
      </c>
      <c r="D30" s="90">
        <v>350</v>
      </c>
      <c r="E30" s="21">
        <v>0</v>
      </c>
      <c r="F30" s="21">
        <f t="shared" ref="F30:F35" si="0">E30*$E$15</f>
        <v>0</v>
      </c>
      <c r="G30" s="24">
        <f>'B52'!J6*F30*D30/100</f>
        <v>0</v>
      </c>
    </row>
    <row r="31" spans="1:7" s="32" customFormat="1" ht="19.8">
      <c r="A31" s="45">
        <v>3</v>
      </c>
      <c r="B31" s="84" t="s">
        <v>93</v>
      </c>
      <c r="C31" s="21" t="s">
        <v>548</v>
      </c>
      <c r="D31" s="90">
        <v>660</v>
      </c>
      <c r="E31" s="21">
        <v>1</v>
      </c>
      <c r="F31" s="21">
        <f t="shared" si="0"/>
        <v>4</v>
      </c>
      <c r="G31" s="24">
        <f>'B52'!J12*F31*D31/100</f>
        <v>47.348484524598753</v>
      </c>
    </row>
    <row r="32" spans="1:7" s="32" customFormat="1" ht="19.8">
      <c r="A32" s="45">
        <v>4</v>
      </c>
      <c r="B32" s="84" t="s">
        <v>105</v>
      </c>
      <c r="C32" s="21" t="s">
        <v>549</v>
      </c>
      <c r="D32" s="90">
        <v>600</v>
      </c>
      <c r="E32" s="21">
        <v>1</v>
      </c>
      <c r="F32" s="21">
        <f t="shared" si="0"/>
        <v>4</v>
      </c>
      <c r="G32" s="24">
        <f>'B52'!J13*F32*D32/100</f>
        <v>33.858492204596907</v>
      </c>
    </row>
    <row r="33" spans="1:7" s="32" customFormat="1" ht="19.8">
      <c r="A33" s="45">
        <v>5</v>
      </c>
      <c r="B33" s="84" t="s">
        <v>95</v>
      </c>
      <c r="C33" s="21" t="s">
        <v>550</v>
      </c>
      <c r="D33" s="90">
        <v>600</v>
      </c>
      <c r="E33" s="21">
        <v>2</v>
      </c>
      <c r="F33" s="21">
        <f t="shared" si="0"/>
        <v>8</v>
      </c>
      <c r="G33" s="24">
        <f>'B52'!J7*F33*D33/100</f>
        <v>129.94943999999998</v>
      </c>
    </row>
    <row r="34" spans="1:7" s="32" customFormat="1" ht="19.8">
      <c r="A34" s="45">
        <v>6</v>
      </c>
      <c r="B34" s="84" t="s">
        <v>96</v>
      </c>
      <c r="C34" s="21" t="s">
        <v>551</v>
      </c>
      <c r="D34" s="90">
        <v>600</v>
      </c>
      <c r="E34" s="22">
        <v>1</v>
      </c>
      <c r="F34" s="21">
        <f t="shared" si="0"/>
        <v>4</v>
      </c>
      <c r="G34" s="24">
        <f>'B52'!J8*F34*D34/100</f>
        <v>26.632080000000006</v>
      </c>
    </row>
    <row r="35" spans="1:7" s="32" customFormat="1" ht="19.8">
      <c r="A35" s="45">
        <v>7</v>
      </c>
      <c r="B35" s="84" t="s">
        <v>502</v>
      </c>
      <c r="C35" s="21" t="s">
        <v>549</v>
      </c>
      <c r="D35" s="90">
        <v>700</v>
      </c>
      <c r="E35" s="22">
        <v>1</v>
      </c>
      <c r="F35" s="21">
        <f t="shared" si="0"/>
        <v>4</v>
      </c>
      <c r="G35" s="24">
        <f>'B52'!J13*F35*D35/100</f>
        <v>39.501574238696392</v>
      </c>
    </row>
    <row r="36" spans="1:7" s="32" customFormat="1" ht="19.8">
      <c r="A36" s="287"/>
      <c r="B36" s="384"/>
      <c r="C36" s="384"/>
      <c r="D36" s="384"/>
      <c r="E36" s="385"/>
      <c r="F36" s="84" t="s">
        <v>111</v>
      </c>
      <c r="G36" s="24">
        <f>SUM(G29:G35)</f>
        <v>767.43367096789211</v>
      </c>
    </row>
    <row r="37" spans="1:7" s="32" customFormat="1" ht="19.8">
      <c r="A37" s="359" t="s">
        <v>112</v>
      </c>
      <c r="B37" s="386"/>
      <c r="C37" s="386"/>
      <c r="D37" s="386"/>
      <c r="E37" s="386"/>
      <c r="F37" s="360" t="s">
        <v>110</v>
      </c>
      <c r="G37" s="25">
        <f>G36*G27</f>
        <v>18418.408103229413</v>
      </c>
    </row>
    <row r="38" spans="1:7" s="32" customFormat="1" ht="19.8"/>
    <row r="39" spans="1:7" s="32" customFormat="1" ht="19.8">
      <c r="A39" s="39" t="s">
        <v>541</v>
      </c>
      <c r="B39" s="15"/>
      <c r="C39" s="84" t="s">
        <v>88</v>
      </c>
      <c r="D39" s="23">
        <f>$D$9</f>
        <v>4</v>
      </c>
      <c r="E39" s="295" t="s">
        <v>114</v>
      </c>
      <c r="F39" s="297"/>
      <c r="G39" s="23">
        <f>$E$13</f>
        <v>50</v>
      </c>
    </row>
    <row r="40" spans="1:7" s="32" customFormat="1" ht="19.8">
      <c r="A40" s="84" t="s">
        <v>89</v>
      </c>
      <c r="B40" s="84" t="s">
        <v>90</v>
      </c>
      <c r="C40" s="40" t="s">
        <v>544</v>
      </c>
      <c r="D40" s="84" t="s">
        <v>538</v>
      </c>
      <c r="E40" s="84" t="s">
        <v>113</v>
      </c>
      <c r="F40" s="84" t="s">
        <v>106</v>
      </c>
      <c r="G40" s="84" t="s">
        <v>539</v>
      </c>
    </row>
    <row r="41" spans="1:7" s="32" customFormat="1" ht="19.8">
      <c r="A41" s="45">
        <v>1</v>
      </c>
      <c r="B41" s="84" t="s">
        <v>93</v>
      </c>
      <c r="C41" s="21" t="s">
        <v>548</v>
      </c>
      <c r="D41" s="90">
        <v>660</v>
      </c>
      <c r="E41" s="21">
        <v>1</v>
      </c>
      <c r="F41" s="21">
        <f t="shared" ref="F41:F43" si="1">E41*$E$15</f>
        <v>4</v>
      </c>
      <c r="G41" s="24">
        <f>'B52'!J12*F41*D41/100</f>
        <v>47.348484524598753</v>
      </c>
    </row>
    <row r="42" spans="1:7" s="32" customFormat="1" ht="19.8">
      <c r="A42" s="45">
        <v>2</v>
      </c>
      <c r="B42" s="84" t="s">
        <v>105</v>
      </c>
      <c r="C42" s="21" t="s">
        <v>549</v>
      </c>
      <c r="D42" s="90">
        <v>600</v>
      </c>
      <c r="E42" s="21">
        <v>1</v>
      </c>
      <c r="F42" s="21">
        <f t="shared" si="1"/>
        <v>4</v>
      </c>
      <c r="G42" s="24">
        <f>'B52'!J13*F42*D42/100</f>
        <v>33.858492204596907</v>
      </c>
    </row>
    <row r="43" spans="1:7" s="32" customFormat="1" ht="19.8">
      <c r="A43" s="45">
        <v>3</v>
      </c>
      <c r="B43" s="84" t="s">
        <v>115</v>
      </c>
      <c r="C43" s="21" t="s">
        <v>550</v>
      </c>
      <c r="D43" s="90">
        <v>600</v>
      </c>
      <c r="E43" s="21">
        <v>1</v>
      </c>
      <c r="F43" s="21">
        <f t="shared" si="1"/>
        <v>4</v>
      </c>
      <c r="G43" s="24">
        <f>'B52'!J7*F43*D43/100</f>
        <v>64.974719999999991</v>
      </c>
    </row>
    <row r="44" spans="1:7" s="32" customFormat="1" ht="19.8">
      <c r="A44" s="287"/>
      <c r="B44" s="384"/>
      <c r="C44" s="384"/>
      <c r="D44" s="384"/>
      <c r="E44" s="385"/>
      <c r="F44" s="84" t="s">
        <v>111</v>
      </c>
      <c r="G44" s="24">
        <f>SUM(G41:G43)</f>
        <v>146.18169672919566</v>
      </c>
    </row>
    <row r="45" spans="1:7" s="32" customFormat="1" ht="19.8">
      <c r="A45" s="359" t="s">
        <v>116</v>
      </c>
      <c r="B45" s="386"/>
      <c r="C45" s="386"/>
      <c r="D45" s="386"/>
      <c r="E45" s="386"/>
      <c r="F45" s="360" t="s">
        <v>110</v>
      </c>
      <c r="G45" s="25">
        <f>G44*G39</f>
        <v>7309.0848364597832</v>
      </c>
    </row>
    <row r="46" spans="1:7" s="32" customFormat="1" ht="19.8"/>
    <row r="47" spans="1:7" s="32" customFormat="1" ht="19.8">
      <c r="A47" s="375" t="s">
        <v>542</v>
      </c>
      <c r="B47" s="376"/>
      <c r="C47" s="377"/>
      <c r="D47" s="84" t="s">
        <v>88</v>
      </c>
      <c r="E47" s="23">
        <f>$D$9</f>
        <v>4</v>
      </c>
      <c r="F47" s="84" t="s">
        <v>108</v>
      </c>
      <c r="G47" s="23">
        <f>D13</f>
        <v>26</v>
      </c>
    </row>
    <row r="48" spans="1:7" s="32" customFormat="1" ht="19.8">
      <c r="A48" s="84" t="s">
        <v>89</v>
      </c>
      <c r="B48" s="84" t="s">
        <v>90</v>
      </c>
      <c r="C48" s="40" t="s">
        <v>544</v>
      </c>
      <c r="D48" s="84" t="s">
        <v>538</v>
      </c>
      <c r="E48" s="84" t="s">
        <v>113</v>
      </c>
      <c r="F48" s="84" t="s">
        <v>106</v>
      </c>
      <c r="G48" s="84" t="s">
        <v>539</v>
      </c>
    </row>
    <row r="49" spans="1:7" s="32" customFormat="1" ht="19.8">
      <c r="A49" s="45">
        <v>1</v>
      </c>
      <c r="B49" s="84" t="s">
        <v>97</v>
      </c>
      <c r="C49" s="21" t="s">
        <v>553</v>
      </c>
      <c r="D49" s="90">
        <v>400</v>
      </c>
      <c r="E49" s="22">
        <v>2</v>
      </c>
      <c r="F49" s="21">
        <v>4</v>
      </c>
      <c r="G49" s="24">
        <f>'B52'!J30*F49*D49/100</f>
        <v>53.81065279999995</v>
      </c>
    </row>
    <row r="50" spans="1:7" s="32" customFormat="1" ht="19.8">
      <c r="A50" s="45">
        <v>2</v>
      </c>
      <c r="B50" s="84" t="s">
        <v>117</v>
      </c>
      <c r="C50" s="21" t="s">
        <v>554</v>
      </c>
      <c r="D50" s="90">
        <v>400</v>
      </c>
      <c r="E50" s="21">
        <v>5</v>
      </c>
      <c r="F50" s="21">
        <f>E50*$E$15</f>
        <v>20</v>
      </c>
      <c r="G50" s="24">
        <f>'B52'!J13*F50*D50/100</f>
        <v>112.8616406819897</v>
      </c>
    </row>
    <row r="51" spans="1:7" s="32" customFormat="1" ht="19.8">
      <c r="A51" s="45">
        <v>3</v>
      </c>
      <c r="B51" s="84" t="s">
        <v>118</v>
      </c>
      <c r="C51" s="21" t="s">
        <v>555</v>
      </c>
      <c r="D51" s="90">
        <v>400</v>
      </c>
      <c r="E51" s="21">
        <v>2</v>
      </c>
      <c r="F51" s="23">
        <f>E47+1</f>
        <v>5</v>
      </c>
      <c r="G51" s="24">
        <f>'B52'!J36*F51*D51/100</f>
        <v>202.65250000000003</v>
      </c>
    </row>
    <row r="52" spans="1:7" s="32" customFormat="1" ht="19.8">
      <c r="A52" s="287"/>
      <c r="B52" s="384"/>
      <c r="C52" s="384"/>
      <c r="D52" s="384"/>
      <c r="E52" s="385"/>
      <c r="F52" s="84" t="s">
        <v>111</v>
      </c>
      <c r="G52" s="24">
        <f>SUM(G49:G50)</f>
        <v>166.67229348198964</v>
      </c>
    </row>
    <row r="53" spans="1:7" s="32" customFormat="1" ht="19.8">
      <c r="A53" s="359" t="s">
        <v>116</v>
      </c>
      <c r="B53" s="386"/>
      <c r="C53" s="386"/>
      <c r="D53" s="386"/>
      <c r="E53" s="386"/>
      <c r="F53" s="360" t="s">
        <v>110</v>
      </c>
      <c r="G53" s="25">
        <f>G52*(G47-1)</f>
        <v>4166.8073370497414</v>
      </c>
    </row>
    <row r="54" spans="1:7" s="32" customFormat="1" ht="19.8"/>
    <row r="55" spans="1:7" s="32" customFormat="1" ht="19.8">
      <c r="A55" s="359" t="s">
        <v>119</v>
      </c>
      <c r="B55" s="386"/>
      <c r="C55" s="386"/>
      <c r="D55" s="386"/>
      <c r="E55" s="386"/>
      <c r="F55" s="360" t="s">
        <v>110</v>
      </c>
      <c r="G55" s="25">
        <f>G25+G37+G45+G53</f>
        <v>31397.55572139733</v>
      </c>
    </row>
    <row r="56" spans="1:7" s="32" customFormat="1" ht="19.8">
      <c r="A56" s="295" t="s">
        <v>123</v>
      </c>
      <c r="B56" s="296"/>
      <c r="C56" s="27">
        <f>$F$4</f>
        <v>36</v>
      </c>
      <c r="D56" s="106"/>
      <c r="E56" s="106"/>
      <c r="F56" s="107" t="s">
        <v>121</v>
      </c>
      <c r="G56" s="25">
        <f>G55*C56</f>
        <v>1130312.0059703039</v>
      </c>
    </row>
    <row r="63" spans="1:7" ht="19.8">
      <c r="A63" s="169" t="s">
        <v>821</v>
      </c>
      <c r="B63" s="165" t="s">
        <v>743</v>
      </c>
      <c r="C63" s="165"/>
      <c r="D63" s="165" t="s">
        <v>749</v>
      </c>
    </row>
    <row r="64" spans="1:7" ht="19.8">
      <c r="A64" s="159">
        <v>1</v>
      </c>
      <c r="B64" s="165" t="s">
        <v>741</v>
      </c>
      <c r="C64" s="172">
        <f>IF($F$2=B64,1,0)</f>
        <v>1</v>
      </c>
      <c r="D64" s="172">
        <v>0</v>
      </c>
      <c r="E64" s="172">
        <f>IF($F$2=B64,1,0)</f>
        <v>1</v>
      </c>
    </row>
    <row r="65" spans="1:5" ht="19.8">
      <c r="A65" s="159">
        <v>2</v>
      </c>
      <c r="B65" s="165" t="s">
        <v>744</v>
      </c>
      <c r="C65" s="172">
        <f>IF($F$2=B65,1,0)</f>
        <v>0</v>
      </c>
      <c r="D65" s="172">
        <v>0</v>
      </c>
      <c r="E65" s="172">
        <f>IF($F$2=B65,2,0)</f>
        <v>0</v>
      </c>
    </row>
    <row r="66" spans="1:5" ht="19.8">
      <c r="A66" s="159">
        <v>3</v>
      </c>
      <c r="B66" s="165" t="s">
        <v>740</v>
      </c>
      <c r="C66" s="172">
        <f t="shared" ref="C66" si="2">IF($F$2=B66,1,0)</f>
        <v>0</v>
      </c>
      <c r="D66" s="172">
        <f>IF(C66=1,1,0)</f>
        <v>0</v>
      </c>
      <c r="E66" s="172">
        <f>IF($F$2=B66,3,0)</f>
        <v>0</v>
      </c>
    </row>
    <row r="67" spans="1:5" ht="18">
      <c r="D67" s="172">
        <f>SUM(D64:D66)</f>
        <v>0</v>
      </c>
      <c r="E67" s="172">
        <f>SUM(E64:E66)</f>
        <v>1</v>
      </c>
    </row>
    <row r="68" spans="1:5" ht="19.8">
      <c r="D68" s="160" t="s">
        <v>747</v>
      </c>
      <c r="E68" s="172">
        <f>E67</f>
        <v>1</v>
      </c>
    </row>
  </sheetData>
  <mergeCells count="19">
    <mergeCell ref="A1:B1"/>
    <mergeCell ref="B8:C8"/>
    <mergeCell ref="B9:C9"/>
    <mergeCell ref="B6:D6"/>
    <mergeCell ref="B7:D7"/>
    <mergeCell ref="A24:E24"/>
    <mergeCell ref="A15:C15"/>
    <mergeCell ref="A25:F25"/>
    <mergeCell ref="A36:E36"/>
    <mergeCell ref="A37:F37"/>
    <mergeCell ref="A44:E44"/>
    <mergeCell ref="A27:C27"/>
    <mergeCell ref="A55:F55"/>
    <mergeCell ref="A56:B56"/>
    <mergeCell ref="A45:F45"/>
    <mergeCell ref="E39:F39"/>
    <mergeCell ref="A52:E52"/>
    <mergeCell ref="A53:F53"/>
    <mergeCell ref="A47:C47"/>
  </mergeCells>
  <phoneticPr fontId="1" type="noConversion"/>
  <dataValidations count="1">
    <dataValidation type="list" allowBlank="1" showInputMessage="1" showErrorMessage="1" sqref="F2">
      <formula1>"原型,強化,輕量化"</formula1>
    </dataValidation>
  </dataValidations>
  <hyperlinks>
    <hyperlink ref="C48" location="溫室構件!A1" display="構件編號"/>
    <hyperlink ref="C40" location="溫室構件!A1" display="構件編號"/>
    <hyperlink ref="C28" location="溫室構件!A1" display="構件編號"/>
    <hyperlink ref="C16" location="溫室構件!A1" display="構件編號"/>
  </hyperlinks>
  <pageMargins left="0.7" right="0.7" top="0.75" bottom="0.75" header="0.3" footer="0.3"/>
  <pageSetup paperSize="9" orientation="portrait" horizontalDpi="1200" verticalDpi="12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sqref="A1:B1"/>
    </sheetView>
  </sheetViews>
  <sheetFormatPr defaultColWidth="9" defaultRowHeight="15.6"/>
  <cols>
    <col min="1" max="1" width="10.33203125" style="212" customWidth="1"/>
    <col min="2" max="2" width="22" style="212" bestFit="1" customWidth="1"/>
    <col min="3" max="3" width="16.109375" style="212" bestFit="1" customWidth="1"/>
    <col min="4" max="4" width="17.44140625" style="212" bestFit="1" customWidth="1"/>
    <col min="5" max="9" width="16.33203125" style="212" bestFit="1" customWidth="1"/>
    <col min="10" max="16384" width="9" style="212"/>
  </cols>
  <sheetData>
    <row r="1" spans="1:9" ht="22.2">
      <c r="A1" s="334" t="s">
        <v>982</v>
      </c>
      <c r="B1" s="334"/>
      <c r="C1" s="208"/>
      <c r="D1" s="208"/>
    </row>
    <row r="2" spans="1:9" ht="21">
      <c r="A2" s="208"/>
      <c r="B2" s="208"/>
      <c r="C2" s="208"/>
      <c r="D2" s="208"/>
    </row>
    <row r="3" spans="1:9" ht="19.8">
      <c r="A3" s="51" t="s">
        <v>983</v>
      </c>
      <c r="B3" s="51" t="s">
        <v>984</v>
      </c>
      <c r="C3" s="215" t="s">
        <v>985</v>
      </c>
      <c r="D3" s="215" t="s">
        <v>986</v>
      </c>
      <c r="E3" s="215" t="s">
        <v>1158</v>
      </c>
      <c r="F3" s="215" t="s">
        <v>1235</v>
      </c>
      <c r="G3" s="215" t="s">
        <v>1159</v>
      </c>
      <c r="H3" s="215" t="s">
        <v>1160</v>
      </c>
      <c r="I3" s="215" t="s">
        <v>1161</v>
      </c>
    </row>
    <row r="4" spans="1:9" ht="19.8">
      <c r="A4" s="51" t="s">
        <v>816</v>
      </c>
      <c r="B4" s="104" t="s">
        <v>987</v>
      </c>
      <c r="C4" s="25">
        <f>'B461'!F3</f>
        <v>14409.706970951316</v>
      </c>
      <c r="D4" s="117">
        <f>'B461'!F5</f>
        <v>518749.45095424738</v>
      </c>
      <c r="E4" s="117">
        <f>C4*12</f>
        <v>172916.48365141579</v>
      </c>
      <c r="F4" s="117">
        <f>C4*10</f>
        <v>144097.06970951316</v>
      </c>
      <c r="G4" s="117">
        <f>C4*15</f>
        <v>216145.60456426974</v>
      </c>
      <c r="H4" s="117">
        <f>(D4+E4+G4)*0.3</f>
        <v>272343.46175097988</v>
      </c>
      <c r="I4" s="117">
        <f>SUM(C4:H4)</f>
        <v>1338661.7776013771</v>
      </c>
    </row>
    <row r="5" spans="1:9" ht="19.8">
      <c r="A5" s="51" t="s">
        <v>817</v>
      </c>
      <c r="B5" s="104" t="s">
        <v>988</v>
      </c>
      <c r="C5" s="25">
        <f>'B462'!F3</f>
        <v>17576.587084221257</v>
      </c>
      <c r="D5" s="117">
        <f>'B462'!F5</f>
        <v>632757.13503196521</v>
      </c>
      <c r="E5" s="117">
        <f t="shared" ref="E5:E7" si="0">C5*12</f>
        <v>210919.04501065507</v>
      </c>
      <c r="F5" s="117">
        <f t="shared" ref="F5:F7" si="1">C5*10</f>
        <v>175765.87084221258</v>
      </c>
      <c r="G5" s="117">
        <f t="shared" ref="G5:G7" si="2">C5*15</f>
        <v>263648.80626331887</v>
      </c>
      <c r="H5" s="117">
        <f t="shared" ref="H5:H7" si="3">(D5+E5+G5)*0.3</f>
        <v>332197.4958917817</v>
      </c>
      <c r="I5" s="117">
        <f>SUM(C5:H5)</f>
        <v>1632864.9401241548</v>
      </c>
    </row>
    <row r="6" spans="1:9" ht="19.8">
      <c r="A6" s="51" t="s">
        <v>818</v>
      </c>
      <c r="B6" s="104" t="s">
        <v>989</v>
      </c>
      <c r="C6" s="25">
        <f>'B463'!F3</f>
        <v>19525.375694398972</v>
      </c>
      <c r="D6" s="117">
        <f>'B463'!F5</f>
        <v>702913.52499836299</v>
      </c>
      <c r="E6" s="117">
        <f t="shared" si="0"/>
        <v>234304.50833278766</v>
      </c>
      <c r="F6" s="117">
        <f t="shared" si="1"/>
        <v>195253.75694398972</v>
      </c>
      <c r="G6" s="117">
        <f t="shared" si="2"/>
        <v>292880.63541598455</v>
      </c>
      <c r="H6" s="117">
        <f t="shared" si="3"/>
        <v>369029.60062414053</v>
      </c>
      <c r="I6" s="117">
        <f>SUM(C6:H6)</f>
        <v>1813907.4020096646</v>
      </c>
    </row>
    <row r="7" spans="1:9" ht="19.8">
      <c r="A7" s="51" t="s">
        <v>819</v>
      </c>
      <c r="B7" s="214" t="s">
        <v>968</v>
      </c>
      <c r="C7" s="25">
        <f>'B464'!F3</f>
        <v>31397.55572139733</v>
      </c>
      <c r="D7" s="117">
        <f>'B464'!F5</f>
        <v>1130312.0059703039</v>
      </c>
      <c r="E7" s="117">
        <f t="shared" si="0"/>
        <v>376770.66865676793</v>
      </c>
      <c r="F7" s="117">
        <f t="shared" si="1"/>
        <v>313975.55721397331</v>
      </c>
      <c r="G7" s="117">
        <f t="shared" si="2"/>
        <v>470963.33582095994</v>
      </c>
      <c r="H7" s="117">
        <f t="shared" si="3"/>
        <v>593413.80313440948</v>
      </c>
      <c r="I7" s="117">
        <f>SUM(C7:H7)</f>
        <v>2916832.9265178116</v>
      </c>
    </row>
    <row r="8" spans="1:9" ht="19.8">
      <c r="A8" s="51" t="s">
        <v>820</v>
      </c>
      <c r="B8" s="214" t="s">
        <v>969</v>
      </c>
      <c r="C8" s="25"/>
      <c r="D8" s="117"/>
      <c r="E8" s="159"/>
      <c r="F8" s="159"/>
      <c r="G8" s="159"/>
      <c r="H8" s="159"/>
      <c r="I8" s="159"/>
    </row>
  </sheetData>
  <mergeCells count="1">
    <mergeCell ref="A1:B1"/>
  </mergeCells>
  <phoneticPr fontId="1" type="noConversion"/>
  <pageMargins left="0.7" right="0.7" top="0.75" bottom="0.75" header="0.3" footer="0.3"/>
  <pageSetup paperSize="9" orientation="portrait" horizontalDpi="1200" verticalDpi="12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zoomScale="115" zoomScaleNormal="115" workbookViewId="0">
      <selection sqref="A1:B1"/>
    </sheetView>
  </sheetViews>
  <sheetFormatPr defaultRowHeight="16.2"/>
  <cols>
    <col min="1" max="1" width="6.77734375" bestFit="1" customWidth="1"/>
    <col min="2" max="2" width="20.21875" bestFit="1" customWidth="1"/>
    <col min="3" max="3" width="14.6640625" bestFit="1" customWidth="1"/>
    <col min="4" max="4" width="15.44140625" customWidth="1"/>
    <col min="5" max="5" width="14.6640625" bestFit="1" customWidth="1"/>
  </cols>
  <sheetData>
    <row r="1" spans="1:5" ht="22.2">
      <c r="A1" s="321" t="s">
        <v>981</v>
      </c>
      <c r="B1" s="321"/>
      <c r="C1" s="176"/>
    </row>
    <row r="2" spans="1:5" ht="22.2">
      <c r="A2" s="176"/>
      <c r="B2" s="176"/>
      <c r="C2" s="176"/>
    </row>
    <row r="3" spans="1:5" ht="19.8">
      <c r="A3" s="175" t="s">
        <v>831</v>
      </c>
      <c r="B3" s="175" t="s">
        <v>832</v>
      </c>
      <c r="C3" s="175" t="s">
        <v>833</v>
      </c>
      <c r="D3" s="175" t="s">
        <v>1180</v>
      </c>
      <c r="E3" s="261" t="s">
        <v>1181</v>
      </c>
    </row>
    <row r="4" spans="1:5" ht="19.8">
      <c r="A4" s="179">
        <v>1</v>
      </c>
      <c r="B4" s="177" t="s">
        <v>834</v>
      </c>
      <c r="C4" s="177" t="s">
        <v>835</v>
      </c>
      <c r="D4" s="273" t="s">
        <v>1182</v>
      </c>
      <c r="E4" s="273" t="s">
        <v>1199</v>
      </c>
    </row>
    <row r="5" spans="1:5" ht="19.8">
      <c r="A5" s="179">
        <v>2</v>
      </c>
      <c r="B5" s="335" t="s">
        <v>836</v>
      </c>
      <c r="C5" s="177" t="s">
        <v>841</v>
      </c>
      <c r="D5" s="274" t="s">
        <v>1222</v>
      </c>
      <c r="E5" s="274" t="s">
        <v>1223</v>
      </c>
    </row>
    <row r="6" spans="1:5" ht="19.8">
      <c r="A6" s="179">
        <v>3</v>
      </c>
      <c r="B6" s="387"/>
      <c r="C6" s="177" t="s">
        <v>1219</v>
      </c>
      <c r="D6" s="273" t="s">
        <v>1183</v>
      </c>
      <c r="E6" s="273" t="s">
        <v>1200</v>
      </c>
    </row>
    <row r="7" spans="1:5" ht="19.8">
      <c r="A7" s="179">
        <v>4</v>
      </c>
      <c r="B7" s="387"/>
      <c r="C7" s="177" t="s">
        <v>843</v>
      </c>
      <c r="D7" s="273" t="s">
        <v>1184</v>
      </c>
      <c r="E7" s="273" t="s">
        <v>1201</v>
      </c>
    </row>
    <row r="8" spans="1:5" ht="19.8">
      <c r="A8" s="179">
        <v>5</v>
      </c>
      <c r="B8" s="387"/>
      <c r="C8" s="177" t="s">
        <v>844</v>
      </c>
      <c r="D8" s="273" t="s">
        <v>1185</v>
      </c>
      <c r="E8" s="273" t="s">
        <v>1202</v>
      </c>
    </row>
    <row r="9" spans="1:5" ht="19.8">
      <c r="A9" s="179">
        <v>6</v>
      </c>
      <c r="B9" s="387"/>
      <c r="C9" s="177" t="s">
        <v>845</v>
      </c>
      <c r="D9" s="273" t="s">
        <v>1186</v>
      </c>
      <c r="E9" s="273" t="s">
        <v>1203</v>
      </c>
    </row>
    <row r="10" spans="1:5" ht="19.8">
      <c r="A10" s="179">
        <v>7</v>
      </c>
      <c r="B10" s="388"/>
      <c r="C10" s="177" t="s">
        <v>846</v>
      </c>
      <c r="D10" s="273" t="s">
        <v>1187</v>
      </c>
      <c r="E10" s="273" t="s">
        <v>1204</v>
      </c>
    </row>
    <row r="11" spans="1:5" ht="19.8">
      <c r="A11" s="179">
        <v>8</v>
      </c>
      <c r="B11" s="335" t="s">
        <v>840</v>
      </c>
      <c r="C11" s="177" t="s">
        <v>847</v>
      </c>
      <c r="D11" s="273" t="s">
        <v>1188</v>
      </c>
      <c r="E11" s="273" t="s">
        <v>1205</v>
      </c>
    </row>
    <row r="12" spans="1:5" ht="19.8">
      <c r="A12" s="179">
        <v>9</v>
      </c>
      <c r="B12" s="387"/>
      <c r="C12" s="177" t="s">
        <v>848</v>
      </c>
      <c r="D12" s="273" t="s">
        <v>1214</v>
      </c>
      <c r="E12" s="273" t="s">
        <v>1206</v>
      </c>
    </row>
    <row r="13" spans="1:5" ht="19.8">
      <c r="A13" s="179">
        <v>10</v>
      </c>
      <c r="B13" s="387"/>
      <c r="C13" s="177" t="s">
        <v>849</v>
      </c>
      <c r="D13" s="274" t="s">
        <v>1215</v>
      </c>
      <c r="E13" s="274" t="s">
        <v>1216</v>
      </c>
    </row>
    <row r="14" spans="1:5" ht="19.8">
      <c r="A14" s="179">
        <v>11</v>
      </c>
      <c r="B14" s="387"/>
      <c r="C14" s="177" t="s">
        <v>850</v>
      </c>
      <c r="D14" s="273" t="s">
        <v>1189</v>
      </c>
      <c r="E14" s="273" t="s">
        <v>1207</v>
      </c>
    </row>
    <row r="15" spans="1:5" ht="19.8">
      <c r="A15" s="179">
        <v>12</v>
      </c>
      <c r="B15" s="387"/>
      <c r="C15" s="177" t="s">
        <v>851</v>
      </c>
      <c r="D15" s="273" t="s">
        <v>1190</v>
      </c>
      <c r="E15" s="273" t="s">
        <v>1208</v>
      </c>
    </row>
    <row r="16" spans="1:5" ht="19.8">
      <c r="A16" s="179">
        <v>13</v>
      </c>
      <c r="B16" s="387"/>
      <c r="C16" s="177" t="s">
        <v>852</v>
      </c>
      <c r="D16" s="273" t="s">
        <v>1191</v>
      </c>
      <c r="E16" s="273" t="s">
        <v>1209</v>
      </c>
    </row>
    <row r="17" spans="1:5" ht="19.8">
      <c r="A17" s="179">
        <v>14</v>
      </c>
      <c r="B17" s="387"/>
      <c r="C17" s="177" t="s">
        <v>853</v>
      </c>
      <c r="D17" s="273" t="s">
        <v>1192</v>
      </c>
      <c r="E17" s="273" t="s">
        <v>1210</v>
      </c>
    </row>
    <row r="18" spans="1:5" ht="19.8">
      <c r="A18" s="179">
        <v>15</v>
      </c>
      <c r="B18" s="387"/>
      <c r="C18" s="177" t="s">
        <v>854</v>
      </c>
      <c r="D18" s="273" t="s">
        <v>1193</v>
      </c>
      <c r="E18" s="273" t="s">
        <v>1211</v>
      </c>
    </row>
    <row r="19" spans="1:5" ht="19.8">
      <c r="A19" s="179">
        <v>16</v>
      </c>
      <c r="B19" s="388"/>
      <c r="C19" s="177" t="s">
        <v>862</v>
      </c>
      <c r="D19" s="273" t="s">
        <v>1194</v>
      </c>
      <c r="E19" s="273" t="s">
        <v>1212</v>
      </c>
    </row>
    <row r="20" spans="1:5" ht="19.8">
      <c r="A20" s="179">
        <v>17</v>
      </c>
      <c r="B20" s="335" t="s">
        <v>859</v>
      </c>
      <c r="C20" s="177" t="s">
        <v>836</v>
      </c>
      <c r="D20" s="273" t="s">
        <v>1195</v>
      </c>
      <c r="E20" s="272" t="s">
        <v>1213</v>
      </c>
    </row>
    <row r="21" spans="1:5" ht="19.8">
      <c r="A21" s="179">
        <v>18</v>
      </c>
      <c r="B21" s="387"/>
      <c r="C21" s="177" t="s">
        <v>840</v>
      </c>
      <c r="D21" s="273" t="s">
        <v>1196</v>
      </c>
      <c r="E21" s="272" t="s">
        <v>1213</v>
      </c>
    </row>
    <row r="22" spans="1:5" ht="19.8">
      <c r="A22" s="179">
        <v>19</v>
      </c>
      <c r="B22" s="387"/>
      <c r="C22" s="261" t="s">
        <v>860</v>
      </c>
      <c r="D22" s="273" t="s">
        <v>1197</v>
      </c>
      <c r="E22" s="272" t="s">
        <v>1213</v>
      </c>
    </row>
    <row r="23" spans="1:5" ht="19.8">
      <c r="A23" s="179">
        <v>20</v>
      </c>
      <c r="B23" s="388"/>
      <c r="C23" s="63" t="s">
        <v>861</v>
      </c>
      <c r="D23" s="267" t="s">
        <v>1198</v>
      </c>
      <c r="E23" s="272" t="s">
        <v>1213</v>
      </c>
    </row>
  </sheetData>
  <mergeCells count="4">
    <mergeCell ref="B5:B10"/>
    <mergeCell ref="B11:B19"/>
    <mergeCell ref="B20:B23"/>
    <mergeCell ref="A1:B1"/>
  </mergeCells>
  <phoneticPr fontId="1" type="noConversion"/>
  <conditionalFormatting sqref="E20:E23">
    <cfRule type="dataBar" priority="4">
      <dataBar>
        <cfvo type="min"/>
        <cfvo type="max"/>
        <color rgb="FF638EC6"/>
      </dataBar>
      <extLst>
        <ext xmlns:x14="http://schemas.microsoft.com/office/spreadsheetml/2009/9/main" uri="{B025F937-C7B1-47D3-B67F-A62EFF666E3E}">
          <x14:id>{B297DE7A-60CF-49D5-B3A4-BFA4147B0D9E}</x14:id>
        </ext>
      </extLst>
    </cfRule>
  </conditionalFormatting>
  <hyperlinks>
    <hyperlink ref="D13" location="'B51110'!A1" display="B51110"/>
    <hyperlink ref="E13" location="'B51210'!A1" display="B51210"/>
    <hyperlink ref="D5" location="'B51102'!A1" display="B51102"/>
    <hyperlink ref="E5" location="'B51202'!A1" display="B51202"/>
  </hyperlinks>
  <pageMargins left="0.7" right="0.7" top="0.75" bottom="0.75" header="0.3" footer="0.3"/>
  <pageSetup paperSize="9"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B297DE7A-60CF-49D5-B3A4-BFA4147B0D9E}">
            <x14:dataBar minLength="0" maxLength="100" border="1" negativeBarBorderColorSameAsPositive="0">
              <x14:cfvo type="autoMin"/>
              <x14:cfvo type="autoMax"/>
              <x14:borderColor rgb="FF638EC6"/>
              <x14:negativeFillColor rgb="FFFF0000"/>
              <x14:negativeBorderColor rgb="FFFF0000"/>
              <x14:axisColor rgb="FF000000"/>
            </x14:dataBar>
          </x14:cfRule>
          <xm:sqref>E20:E23</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topLeftCell="A31" workbookViewId="0">
      <selection activeCell="C42" sqref="C42"/>
    </sheetView>
  </sheetViews>
  <sheetFormatPr defaultRowHeight="16.2"/>
  <cols>
    <col min="1" max="1" width="7.21875" bestFit="1" customWidth="1"/>
    <col min="2" max="2" width="7.21875" customWidth="1"/>
    <col min="3" max="3" width="14.33203125" bestFit="1" customWidth="1"/>
    <col min="4" max="4" width="16.109375" bestFit="1" customWidth="1"/>
    <col min="5" max="5" width="11.88671875" bestFit="1" customWidth="1"/>
    <col min="6" max="6" width="15.109375" customWidth="1"/>
    <col min="7" max="7" width="14.77734375" customWidth="1"/>
    <col min="8" max="8" width="14.33203125" customWidth="1"/>
    <col min="9" max="9" width="15.44140625" bestFit="1" customWidth="1"/>
    <col min="10" max="10" width="16.109375" bestFit="1" customWidth="1"/>
    <col min="11" max="11" width="17.44140625" bestFit="1" customWidth="1"/>
    <col min="12" max="12" width="11.88671875" bestFit="1" customWidth="1"/>
    <col min="13" max="13" width="15.44140625" bestFit="1" customWidth="1"/>
    <col min="14" max="14" width="13.109375" bestFit="1" customWidth="1"/>
    <col min="15" max="16" width="11.88671875" bestFit="1" customWidth="1"/>
    <col min="17" max="17" width="15.44140625" bestFit="1" customWidth="1"/>
    <col min="18" max="18" width="13.109375" bestFit="1" customWidth="1"/>
  </cols>
  <sheetData>
    <row r="1" spans="1:18" ht="22.2">
      <c r="A1" s="310" t="s">
        <v>980</v>
      </c>
      <c r="B1" s="310"/>
      <c r="C1" s="310"/>
      <c r="D1" s="87"/>
      <c r="E1" s="13"/>
    </row>
    <row r="2" spans="1:18" ht="22.2">
      <c r="A2" s="146"/>
      <c r="B2" s="146"/>
      <c r="C2" s="146"/>
      <c r="D2" s="146"/>
      <c r="E2" s="146"/>
    </row>
    <row r="3" spans="1:18" ht="19.8">
      <c r="A3" s="314" t="s">
        <v>739</v>
      </c>
      <c r="B3" s="314"/>
      <c r="C3" s="326"/>
      <c r="D3" s="326"/>
      <c r="E3" s="326"/>
      <c r="F3" s="326"/>
      <c r="G3" s="326"/>
      <c r="H3" s="326"/>
      <c r="I3" s="326"/>
      <c r="J3" s="326"/>
    </row>
    <row r="4" spans="1:18" ht="20.399999999999999">
      <c r="A4" s="390"/>
      <c r="B4" s="144" t="s">
        <v>89</v>
      </c>
      <c r="C4" s="144" t="s">
        <v>99</v>
      </c>
      <c r="D4" s="144" t="s">
        <v>90</v>
      </c>
      <c r="E4" s="144" t="s">
        <v>508</v>
      </c>
      <c r="F4" s="144" t="s">
        <v>491</v>
      </c>
      <c r="G4" s="144" t="s">
        <v>492</v>
      </c>
      <c r="H4" s="144" t="s">
        <v>493</v>
      </c>
      <c r="I4" s="144" t="s">
        <v>495</v>
      </c>
      <c r="J4" s="144" t="s">
        <v>494</v>
      </c>
    </row>
    <row r="5" spans="1:18" ht="22.2">
      <c r="A5" s="390"/>
      <c r="B5" s="45" t="s">
        <v>487</v>
      </c>
      <c r="C5" s="144" t="s">
        <v>489</v>
      </c>
      <c r="D5" s="148" t="s">
        <v>91</v>
      </c>
      <c r="E5" s="66">
        <v>150</v>
      </c>
      <c r="F5" s="66">
        <v>75</v>
      </c>
      <c r="G5" s="66"/>
      <c r="H5" s="66">
        <v>3.2</v>
      </c>
      <c r="I5" s="123">
        <f>(E5*F5)-((E5-2*H5)*(F5-2*H5))</f>
        <v>1399.0400000000009</v>
      </c>
      <c r="J5" s="125">
        <f>(I5/1000000)*7870</f>
        <v>11.010444800000007</v>
      </c>
    </row>
    <row r="6" spans="1:18" ht="22.2">
      <c r="A6" s="390"/>
      <c r="B6" s="45" t="s">
        <v>490</v>
      </c>
      <c r="C6" s="144" t="s">
        <v>489</v>
      </c>
      <c r="D6" s="148" t="s">
        <v>92</v>
      </c>
      <c r="E6" s="66">
        <v>60</v>
      </c>
      <c r="F6" s="66">
        <v>60</v>
      </c>
      <c r="G6" s="66"/>
      <c r="H6" s="66">
        <v>3.2</v>
      </c>
      <c r="I6" s="123">
        <f t="shared" ref="I6:I8" si="0">(E6*F6)-((E6-2*H6)*(F6-2*H6))</f>
        <v>727.04</v>
      </c>
      <c r="J6" s="125">
        <f>(I6/1000000)*7870</f>
        <v>5.7218048000000001</v>
      </c>
    </row>
    <row r="7" spans="1:18" ht="22.2">
      <c r="A7" s="390"/>
      <c r="B7" s="45" t="s">
        <v>496</v>
      </c>
      <c r="C7" s="144" t="s">
        <v>489</v>
      </c>
      <c r="D7" s="148" t="s">
        <v>95</v>
      </c>
      <c r="E7" s="66">
        <v>60</v>
      </c>
      <c r="F7" s="66">
        <v>30</v>
      </c>
      <c r="G7" s="66"/>
      <c r="H7" s="66">
        <v>2</v>
      </c>
      <c r="I7" s="123">
        <f t="shared" si="0"/>
        <v>344</v>
      </c>
      <c r="J7" s="125">
        <f>(I7/1000000)*7870</f>
        <v>2.7072799999999999</v>
      </c>
    </row>
    <row r="8" spans="1:18" ht="22.2">
      <c r="A8" s="390"/>
      <c r="B8" s="45" t="s">
        <v>497</v>
      </c>
      <c r="C8" s="144" t="s">
        <v>489</v>
      </c>
      <c r="D8" s="148" t="s">
        <v>96</v>
      </c>
      <c r="E8" s="66">
        <v>25</v>
      </c>
      <c r="F8" s="66">
        <v>25</v>
      </c>
      <c r="G8" s="66"/>
      <c r="H8" s="66">
        <v>1.5</v>
      </c>
      <c r="I8" s="123">
        <f t="shared" si="0"/>
        <v>141</v>
      </c>
      <c r="J8" s="125">
        <f>(I8/1000000)*7870</f>
        <v>1.1096700000000002</v>
      </c>
    </row>
    <row r="9" spans="1:18" ht="22.2">
      <c r="A9" s="98"/>
      <c r="B9" s="98"/>
      <c r="C9" s="35"/>
      <c r="D9" s="94"/>
      <c r="E9" s="99"/>
      <c r="F9" s="99"/>
      <c r="G9" s="99"/>
      <c r="H9" s="99"/>
      <c r="I9" s="100"/>
      <c r="J9" s="101"/>
    </row>
    <row r="10" spans="1:18" ht="19.8">
      <c r="A10" s="391" t="s">
        <v>739</v>
      </c>
      <c r="B10" s="391"/>
      <c r="C10" s="392"/>
      <c r="D10" s="392"/>
      <c r="E10" s="392"/>
      <c r="F10" s="392"/>
      <c r="G10" s="392"/>
      <c r="H10" s="392"/>
      <c r="I10" s="392"/>
      <c r="J10" s="392"/>
      <c r="K10" s="396" t="s">
        <v>740</v>
      </c>
      <c r="L10" s="396"/>
      <c r="M10" s="396"/>
      <c r="N10" s="396"/>
      <c r="O10" s="389" t="s">
        <v>741</v>
      </c>
      <c r="P10" s="389"/>
      <c r="Q10" s="389"/>
      <c r="R10" s="389"/>
    </row>
    <row r="11" spans="1:18" ht="20.399999999999999">
      <c r="A11" s="390"/>
      <c r="B11" s="144" t="s">
        <v>89</v>
      </c>
      <c r="C11" s="144" t="s">
        <v>99</v>
      </c>
      <c r="D11" s="144" t="s">
        <v>90</v>
      </c>
      <c r="E11" s="144" t="s">
        <v>519</v>
      </c>
      <c r="F11" s="144" t="s">
        <v>491</v>
      </c>
      <c r="G11" s="144" t="s">
        <v>492</v>
      </c>
      <c r="H11" s="144" t="s">
        <v>493</v>
      </c>
      <c r="I11" s="144" t="s">
        <v>495</v>
      </c>
      <c r="J11" s="144" t="s">
        <v>486</v>
      </c>
      <c r="K11" s="153" t="s">
        <v>509</v>
      </c>
      <c r="L11" s="153" t="s">
        <v>493</v>
      </c>
      <c r="M11" s="153" t="s">
        <v>495</v>
      </c>
      <c r="N11" s="153" t="s">
        <v>486</v>
      </c>
      <c r="O11" s="153" t="s">
        <v>509</v>
      </c>
      <c r="P11" s="153" t="s">
        <v>493</v>
      </c>
      <c r="Q11" s="153" t="s">
        <v>495</v>
      </c>
      <c r="R11" s="153" t="s">
        <v>486</v>
      </c>
    </row>
    <row r="12" spans="1:18" ht="19.8">
      <c r="A12" s="390"/>
      <c r="B12" s="45" t="s">
        <v>499</v>
      </c>
      <c r="C12" s="144" t="s">
        <v>498</v>
      </c>
      <c r="D12" s="144" t="s">
        <v>93</v>
      </c>
      <c r="E12" s="66">
        <v>42.1</v>
      </c>
      <c r="F12" s="66" t="s">
        <v>503</v>
      </c>
      <c r="G12" s="152"/>
      <c r="H12" s="66">
        <v>1.8</v>
      </c>
      <c r="I12" s="123">
        <f t="shared" ref="I12:I21" si="1">(PI()*E12^2)/4-(PI()*(E12-2*H12)^2)/4</f>
        <v>227.89113109140362</v>
      </c>
      <c r="J12" s="125">
        <f t="shared" ref="J12:J21" si="2">(I12/1000000)*7870</f>
        <v>1.7935032016893466</v>
      </c>
      <c r="K12" s="155"/>
      <c r="L12" s="155"/>
      <c r="M12" s="155"/>
      <c r="N12" s="155"/>
      <c r="O12" s="155"/>
      <c r="P12" s="155"/>
      <c r="Q12" s="155"/>
      <c r="R12" s="155"/>
    </row>
    <row r="13" spans="1:18" ht="19.8">
      <c r="A13" s="390"/>
      <c r="B13" s="45" t="s">
        <v>500</v>
      </c>
      <c r="C13" s="144" t="s">
        <v>498</v>
      </c>
      <c r="D13" s="144" t="s">
        <v>547</v>
      </c>
      <c r="E13" s="66">
        <v>33.5</v>
      </c>
      <c r="F13" s="66" t="s">
        <v>101</v>
      </c>
      <c r="G13" s="66"/>
      <c r="H13" s="66">
        <v>1.8</v>
      </c>
      <c r="I13" s="123">
        <f t="shared" si="1"/>
        <v>179.25927681383371</v>
      </c>
      <c r="J13" s="125">
        <f t="shared" si="2"/>
        <v>1.4107705085248712</v>
      </c>
      <c r="K13" s="155"/>
      <c r="L13" s="155"/>
      <c r="M13" s="155"/>
      <c r="N13" s="155"/>
      <c r="O13" s="155"/>
      <c r="P13" s="155"/>
      <c r="Q13" s="155"/>
      <c r="R13" s="155"/>
    </row>
    <row r="14" spans="1:18" ht="19.8">
      <c r="A14" s="390"/>
      <c r="B14" s="45" t="s">
        <v>501</v>
      </c>
      <c r="C14" s="144" t="s">
        <v>498</v>
      </c>
      <c r="D14" s="144" t="s">
        <v>94</v>
      </c>
      <c r="E14" s="66">
        <v>26.8</v>
      </c>
      <c r="F14" s="66" t="s">
        <v>102</v>
      </c>
      <c r="G14" s="66"/>
      <c r="H14" s="66">
        <v>1.6</v>
      </c>
      <c r="I14" s="123">
        <f t="shared" si="1"/>
        <v>126.66901579274042</v>
      </c>
      <c r="J14" s="125">
        <f t="shared" si="2"/>
        <v>0.99688515428886715</v>
      </c>
      <c r="K14" s="155"/>
      <c r="L14" s="155"/>
      <c r="M14" s="155"/>
      <c r="N14" s="155"/>
      <c r="O14" s="155"/>
      <c r="P14" s="155"/>
      <c r="Q14" s="155"/>
      <c r="R14" s="155"/>
    </row>
    <row r="15" spans="1:18" ht="19.8">
      <c r="A15" s="390"/>
      <c r="B15" s="45" t="s">
        <v>504</v>
      </c>
      <c r="C15" s="144" t="s">
        <v>498</v>
      </c>
      <c r="D15" s="144" t="s">
        <v>94</v>
      </c>
      <c r="E15" s="66">
        <v>21.3</v>
      </c>
      <c r="F15" s="66" t="s">
        <v>505</v>
      </c>
      <c r="G15" s="66"/>
      <c r="H15" s="66">
        <v>1.6</v>
      </c>
      <c r="I15" s="123">
        <f t="shared" si="1"/>
        <v>99.023000441150316</v>
      </c>
      <c r="J15" s="125">
        <f t="shared" si="2"/>
        <v>0.77931101347185305</v>
      </c>
      <c r="K15" s="155"/>
      <c r="L15" s="155"/>
      <c r="M15" s="155"/>
      <c r="N15" s="155"/>
      <c r="O15" s="155"/>
      <c r="P15" s="155"/>
      <c r="Q15" s="155"/>
      <c r="R15" s="155"/>
    </row>
    <row r="16" spans="1:18" ht="19.8">
      <c r="A16" s="390"/>
      <c r="B16" s="45" t="s">
        <v>571</v>
      </c>
      <c r="C16" s="144" t="s">
        <v>488</v>
      </c>
      <c r="D16" s="144"/>
      <c r="E16" s="66">
        <v>42.1</v>
      </c>
      <c r="F16" s="66" t="s">
        <v>503</v>
      </c>
      <c r="G16" s="152"/>
      <c r="H16" s="66">
        <v>1.8</v>
      </c>
      <c r="I16" s="123">
        <f t="shared" si="1"/>
        <v>227.89113109140362</v>
      </c>
      <c r="J16" s="125">
        <f t="shared" si="2"/>
        <v>1.7935032016893466</v>
      </c>
      <c r="K16" s="66">
        <v>42.1</v>
      </c>
      <c r="L16" s="66">
        <v>2</v>
      </c>
      <c r="M16" s="123">
        <f>(PI()*K16^2)/4-(PI()*(K16-2*L16)^2)/4</f>
        <v>251.95573081790144</v>
      </c>
      <c r="N16" s="125">
        <f t="shared" ref="N16:N21" si="3">(M16/1000000)*7870</f>
        <v>1.982891601536884</v>
      </c>
      <c r="O16" s="66">
        <v>42.1</v>
      </c>
      <c r="P16" s="66">
        <v>1.6</v>
      </c>
      <c r="Q16" s="123">
        <f>(PI()*O16^2)/4-(PI()*(O16-2*P16)^2)/4</f>
        <v>203.57520395261872</v>
      </c>
      <c r="R16" s="125">
        <f t="shared" ref="R16:R21" si="4">(Q16/1000000)*7870</f>
        <v>1.6021368551071093</v>
      </c>
    </row>
    <row r="17" spans="1:18" ht="19.8">
      <c r="A17" s="390"/>
      <c r="B17" s="45" t="s">
        <v>573</v>
      </c>
      <c r="C17" s="144" t="s">
        <v>488</v>
      </c>
      <c r="D17" s="144"/>
      <c r="E17" s="66">
        <v>33.5</v>
      </c>
      <c r="F17" s="66" t="s">
        <v>101</v>
      </c>
      <c r="G17" s="66"/>
      <c r="H17" s="66">
        <v>1.8</v>
      </c>
      <c r="I17" s="123">
        <f t="shared" si="1"/>
        <v>179.25927681383371</v>
      </c>
      <c r="J17" s="125">
        <f t="shared" si="2"/>
        <v>1.4107705085248712</v>
      </c>
      <c r="K17" s="66">
        <v>33.5</v>
      </c>
      <c r="L17" s="66">
        <v>2</v>
      </c>
      <c r="M17" s="123">
        <f t="shared" ref="M17:M21" si="5">(PI()*K17^2)/4-(PI()*(K17-2*L17)^2)/4</f>
        <v>197.92033717615698</v>
      </c>
      <c r="N17" s="125">
        <f t="shared" si="3"/>
        <v>1.5576330535763554</v>
      </c>
      <c r="O17" s="66">
        <v>33.5</v>
      </c>
      <c r="P17" s="66">
        <v>1.6</v>
      </c>
      <c r="Q17" s="123">
        <f t="shared" ref="Q17:Q21" si="6">(PI()*O17^2)/4-(PI()*(O17-2*P17)^2)/4</f>
        <v>160.34688903922302</v>
      </c>
      <c r="R17" s="125">
        <f t="shared" si="4"/>
        <v>1.2619300167386851</v>
      </c>
    </row>
    <row r="18" spans="1:18" ht="19.8">
      <c r="A18" s="390"/>
      <c r="B18" s="45" t="s">
        <v>574</v>
      </c>
      <c r="C18" s="144" t="s">
        <v>488</v>
      </c>
      <c r="D18" s="144"/>
      <c r="E18" s="66">
        <v>26.8</v>
      </c>
      <c r="F18" s="66" t="s">
        <v>102</v>
      </c>
      <c r="G18" s="66"/>
      <c r="H18" s="66">
        <v>1.6</v>
      </c>
      <c r="I18" s="123">
        <f t="shared" si="1"/>
        <v>126.66901579274042</v>
      </c>
      <c r="J18" s="125">
        <f t="shared" si="2"/>
        <v>0.99688515428886715</v>
      </c>
      <c r="K18" s="66">
        <v>26.8</v>
      </c>
      <c r="L18" s="66">
        <v>1.8</v>
      </c>
      <c r="M18" s="123">
        <f t="shared" si="5"/>
        <v>141.37166941154067</v>
      </c>
      <c r="N18" s="125">
        <f t="shared" si="3"/>
        <v>1.112595038268825</v>
      </c>
      <c r="O18" s="66">
        <v>26.8</v>
      </c>
      <c r="P18" s="66">
        <v>1.2</v>
      </c>
      <c r="Q18" s="123">
        <f t="shared" si="6"/>
        <v>96.509726318278354</v>
      </c>
      <c r="R18" s="125">
        <f t="shared" si="4"/>
        <v>0.75953154612485063</v>
      </c>
    </row>
    <row r="19" spans="1:18" ht="19.8">
      <c r="A19" s="390"/>
      <c r="B19" s="45" t="s">
        <v>575</v>
      </c>
      <c r="C19" s="144" t="s">
        <v>488</v>
      </c>
      <c r="D19" s="144"/>
      <c r="E19" s="66">
        <v>33.5</v>
      </c>
      <c r="F19" s="66" t="s">
        <v>101</v>
      </c>
      <c r="G19" s="66"/>
      <c r="H19" s="66">
        <v>1.8</v>
      </c>
      <c r="I19" s="123">
        <f t="shared" si="1"/>
        <v>179.25927681383371</v>
      </c>
      <c r="J19" s="125">
        <f t="shared" si="2"/>
        <v>1.4107705085248712</v>
      </c>
      <c r="K19" s="66">
        <v>33.5</v>
      </c>
      <c r="L19" s="66">
        <v>2</v>
      </c>
      <c r="M19" s="123">
        <f t="shared" si="5"/>
        <v>197.92033717615698</v>
      </c>
      <c r="N19" s="125">
        <f t="shared" si="3"/>
        <v>1.5576330535763554</v>
      </c>
      <c r="O19" s="66">
        <v>33.5</v>
      </c>
      <c r="P19" s="66">
        <v>1.6</v>
      </c>
      <c r="Q19" s="123">
        <f t="shared" si="6"/>
        <v>160.34688903922302</v>
      </c>
      <c r="R19" s="125">
        <f t="shared" si="4"/>
        <v>1.2619300167386851</v>
      </c>
    </row>
    <row r="20" spans="1:18" ht="19.8">
      <c r="A20" s="390"/>
      <c r="B20" s="45" t="s">
        <v>572</v>
      </c>
      <c r="C20" s="144" t="s">
        <v>488</v>
      </c>
      <c r="D20" s="144"/>
      <c r="E20" s="66">
        <v>26.8</v>
      </c>
      <c r="F20" s="66" t="s">
        <v>102</v>
      </c>
      <c r="G20" s="66"/>
      <c r="H20" s="66">
        <v>1.6</v>
      </c>
      <c r="I20" s="123">
        <f t="shared" si="1"/>
        <v>126.66901579274042</v>
      </c>
      <c r="J20" s="125">
        <f t="shared" si="2"/>
        <v>0.99688515428886715</v>
      </c>
      <c r="K20" s="66">
        <v>26.8</v>
      </c>
      <c r="L20" s="66">
        <v>1.8</v>
      </c>
      <c r="M20" s="123">
        <f t="shared" si="5"/>
        <v>141.37166941154067</v>
      </c>
      <c r="N20" s="125">
        <f t="shared" si="3"/>
        <v>1.112595038268825</v>
      </c>
      <c r="O20" s="66">
        <v>26.8</v>
      </c>
      <c r="P20" s="66">
        <v>1.2</v>
      </c>
      <c r="Q20" s="123">
        <f t="shared" si="6"/>
        <v>96.509726318278354</v>
      </c>
      <c r="R20" s="125">
        <f t="shared" si="4"/>
        <v>0.75953154612485063</v>
      </c>
    </row>
    <row r="21" spans="1:18" ht="19.8">
      <c r="A21" s="390"/>
      <c r="B21" s="45" t="s">
        <v>576</v>
      </c>
      <c r="C21" s="144" t="s">
        <v>488</v>
      </c>
      <c r="D21" s="144"/>
      <c r="E21" s="66">
        <v>21.3</v>
      </c>
      <c r="F21" s="66" t="s">
        <v>505</v>
      </c>
      <c r="G21" s="66"/>
      <c r="H21" s="66">
        <v>1.6</v>
      </c>
      <c r="I21" s="123">
        <f t="shared" si="1"/>
        <v>99.023000441150316</v>
      </c>
      <c r="J21" s="125">
        <f t="shared" si="2"/>
        <v>0.77931101347185305</v>
      </c>
      <c r="K21" s="66">
        <v>21.3</v>
      </c>
      <c r="L21" s="66">
        <v>1.8</v>
      </c>
      <c r="M21" s="123">
        <f t="shared" si="5"/>
        <v>110.26990214100184</v>
      </c>
      <c r="N21" s="125">
        <f t="shared" si="3"/>
        <v>0.86782412984968438</v>
      </c>
      <c r="O21" s="66">
        <v>21.3</v>
      </c>
      <c r="P21" s="66">
        <v>1.2</v>
      </c>
      <c r="Q21" s="123">
        <f t="shared" si="6"/>
        <v>75.775214804585801</v>
      </c>
      <c r="R21" s="125">
        <f t="shared" si="4"/>
        <v>0.59635094051209026</v>
      </c>
    </row>
    <row r="22" spans="1:18" ht="19.8">
      <c r="A22" s="98"/>
      <c r="B22" s="98"/>
      <c r="C22" s="35"/>
      <c r="D22" s="35"/>
      <c r="E22" s="99"/>
      <c r="F22" s="99"/>
      <c r="G22" s="99"/>
      <c r="H22" s="99"/>
      <c r="I22" s="100"/>
      <c r="J22" s="101"/>
    </row>
    <row r="23" spans="1:18" ht="19.8">
      <c r="A23" s="314" t="s">
        <v>739</v>
      </c>
      <c r="B23" s="314"/>
      <c r="C23" s="326"/>
      <c r="D23" s="326"/>
      <c r="E23" s="326"/>
      <c r="F23" s="326"/>
      <c r="G23" s="326"/>
      <c r="H23" s="326"/>
      <c r="I23" s="326"/>
      <c r="J23" s="326"/>
    </row>
    <row r="24" spans="1:18" ht="20.399999999999999">
      <c r="A24" s="390"/>
      <c r="B24" s="144" t="s">
        <v>89</v>
      </c>
      <c r="C24" s="144" t="s">
        <v>99</v>
      </c>
      <c r="D24" s="144" t="s">
        <v>90</v>
      </c>
      <c r="E24" s="144" t="s">
        <v>516</v>
      </c>
      <c r="F24" s="144" t="s">
        <v>511</v>
      </c>
      <c r="G24" s="144" t="s">
        <v>513</v>
      </c>
      <c r="H24" s="144" t="s">
        <v>513</v>
      </c>
      <c r="I24" s="144" t="s">
        <v>514</v>
      </c>
      <c r="J24" s="144" t="s">
        <v>515</v>
      </c>
    </row>
    <row r="25" spans="1:18" ht="19.8">
      <c r="A25" s="390"/>
      <c r="B25" s="45" t="s">
        <v>506</v>
      </c>
      <c r="C25" s="144" t="s">
        <v>517</v>
      </c>
      <c r="D25" s="144" t="s">
        <v>91</v>
      </c>
      <c r="E25" s="66">
        <v>150</v>
      </c>
      <c r="F25" s="66">
        <v>75</v>
      </c>
      <c r="G25" s="66">
        <v>5</v>
      </c>
      <c r="H25" s="66">
        <v>7</v>
      </c>
      <c r="I25" s="123">
        <f>2*(F25*H25)+(E25-2*H25)*G25</f>
        <v>1730</v>
      </c>
      <c r="J25" s="125">
        <f>(I25/1000000)*7870</f>
        <v>13.6151</v>
      </c>
    </row>
    <row r="26" spans="1:18" ht="19.8">
      <c r="A26" s="390"/>
      <c r="B26" s="45" t="s">
        <v>507</v>
      </c>
      <c r="C26" s="144" t="s">
        <v>517</v>
      </c>
      <c r="D26" s="144"/>
      <c r="E26" s="144"/>
      <c r="F26" s="144"/>
      <c r="G26" s="144"/>
      <c r="H26" s="144"/>
      <c r="I26" s="144"/>
      <c r="J26" s="144"/>
    </row>
    <row r="27" spans="1:18" ht="19.8">
      <c r="A27" s="98"/>
      <c r="B27" s="98"/>
      <c r="C27" s="35"/>
      <c r="D27" s="35"/>
      <c r="E27" s="35"/>
      <c r="F27" s="35"/>
      <c r="G27" s="35"/>
      <c r="H27" s="35"/>
      <c r="I27" s="35"/>
      <c r="J27" s="35"/>
    </row>
    <row r="28" spans="1:18" ht="19.5" customHeight="1">
      <c r="A28" s="314" t="s">
        <v>739</v>
      </c>
      <c r="B28" s="314"/>
      <c r="C28" s="326"/>
      <c r="D28" s="326"/>
      <c r="E28" s="326"/>
      <c r="F28" s="326"/>
      <c r="G28" s="326"/>
      <c r="H28" s="326"/>
      <c r="I28" s="326"/>
      <c r="J28" s="326"/>
    </row>
    <row r="29" spans="1:18" ht="20.399999999999999">
      <c r="A29" s="390"/>
      <c r="B29" s="144" t="s">
        <v>89</v>
      </c>
      <c r="C29" s="144" t="s">
        <v>99</v>
      </c>
      <c r="D29" s="144" t="s">
        <v>90</v>
      </c>
      <c r="E29" s="144" t="s">
        <v>516</v>
      </c>
      <c r="F29" s="144" t="s">
        <v>511</v>
      </c>
      <c r="G29" s="144" t="s">
        <v>512</v>
      </c>
      <c r="H29" s="144" t="s">
        <v>513</v>
      </c>
      <c r="I29" s="144" t="s">
        <v>514</v>
      </c>
      <c r="J29" s="144" t="s">
        <v>515</v>
      </c>
    </row>
    <row r="30" spans="1:18" ht="19.8">
      <c r="A30" s="390"/>
      <c r="B30" s="45" t="s">
        <v>510</v>
      </c>
      <c r="C30" s="144" t="s">
        <v>518</v>
      </c>
      <c r="D30" s="144" t="s">
        <v>97</v>
      </c>
      <c r="E30" s="66">
        <v>75</v>
      </c>
      <c r="F30" s="66">
        <v>45</v>
      </c>
      <c r="G30" s="66">
        <v>15</v>
      </c>
      <c r="H30" s="66">
        <v>2.2999999999999998</v>
      </c>
      <c r="I30" s="123">
        <f>(E30*F30)-((E30-2*H30)*(F30-2*H30))-(H30*(E30-2*G30))</f>
        <v>427.33999999999969</v>
      </c>
      <c r="J30" s="125">
        <f>(I30/1000000)*7870</f>
        <v>3.3631657999999973</v>
      </c>
    </row>
    <row r="31" spans="1:18" ht="19.8">
      <c r="A31" s="390"/>
      <c r="B31" s="45" t="s">
        <v>520</v>
      </c>
      <c r="C31" s="144" t="s">
        <v>518</v>
      </c>
      <c r="D31" s="144" t="s">
        <v>526</v>
      </c>
      <c r="E31" s="66">
        <v>100</v>
      </c>
      <c r="F31" s="66">
        <v>50</v>
      </c>
      <c r="G31" s="66">
        <v>20</v>
      </c>
      <c r="H31" s="66">
        <v>2.2999999999999998</v>
      </c>
      <c r="I31" s="123">
        <f t="shared" ref="I31:I32" si="7">(E31*F31)-((E31-2*H31)*(F31-2*H31))-(H31*(E31-2*G31))</f>
        <v>530.84000000000015</v>
      </c>
      <c r="J31" s="125">
        <f t="shared" ref="J31:J32" si="8">(I31/1000000)*7870</f>
        <v>4.1777108000000016</v>
      </c>
    </row>
    <row r="32" spans="1:18" ht="19.8">
      <c r="A32" s="390"/>
      <c r="B32" s="45" t="s">
        <v>521</v>
      </c>
      <c r="C32" s="144" t="s">
        <v>518</v>
      </c>
      <c r="D32" s="144" t="s">
        <v>97</v>
      </c>
      <c r="E32" s="66">
        <v>150</v>
      </c>
      <c r="F32" s="66">
        <v>50</v>
      </c>
      <c r="G32" s="66">
        <v>20</v>
      </c>
      <c r="H32" s="66">
        <v>2.2999999999999998</v>
      </c>
      <c r="I32" s="123">
        <f t="shared" si="7"/>
        <v>645.84000000000015</v>
      </c>
      <c r="J32" s="125">
        <f t="shared" si="8"/>
        <v>5.0827608000000017</v>
      </c>
    </row>
    <row r="33" spans="1:11" ht="19.8">
      <c r="A33" s="98"/>
      <c r="B33" s="98"/>
      <c r="C33" s="35"/>
      <c r="D33" s="35"/>
      <c r="E33" s="99"/>
      <c r="F33" s="99"/>
      <c r="G33" s="99"/>
      <c r="H33" s="99"/>
      <c r="I33" s="100"/>
      <c r="J33" s="101"/>
    </row>
    <row r="34" spans="1:11" ht="19.8">
      <c r="A34" s="314" t="s">
        <v>739</v>
      </c>
      <c r="B34" s="314"/>
      <c r="C34" s="326"/>
      <c r="D34" s="326"/>
      <c r="E34" s="326"/>
      <c r="F34" s="326"/>
      <c r="G34" s="326"/>
      <c r="H34" s="326"/>
      <c r="I34" s="326"/>
      <c r="J34" s="326"/>
    </row>
    <row r="35" spans="1:11" ht="20.399999999999999">
      <c r="A35" s="390"/>
      <c r="B35" s="144" t="s">
        <v>89</v>
      </c>
      <c r="C35" s="144" t="s">
        <v>99</v>
      </c>
      <c r="D35" s="144" t="s">
        <v>90</v>
      </c>
      <c r="E35" s="144" t="s">
        <v>509</v>
      </c>
      <c r="F35" s="144" t="s">
        <v>511</v>
      </c>
      <c r="G35" s="144" t="s">
        <v>524</v>
      </c>
      <c r="H35" s="144" t="s">
        <v>513</v>
      </c>
      <c r="I35" s="144" t="s">
        <v>514</v>
      </c>
      <c r="J35" s="144" t="s">
        <v>515</v>
      </c>
    </row>
    <row r="36" spans="1:11" ht="19.8">
      <c r="A36" s="390"/>
      <c r="B36" s="45" t="s">
        <v>523</v>
      </c>
      <c r="C36" s="144" t="s">
        <v>104</v>
      </c>
      <c r="D36" s="144" t="s">
        <v>103</v>
      </c>
      <c r="E36" s="66" t="s">
        <v>525</v>
      </c>
      <c r="F36" s="66">
        <v>220</v>
      </c>
      <c r="G36" s="66">
        <v>150</v>
      </c>
      <c r="H36" s="66">
        <v>2.5</v>
      </c>
      <c r="I36" s="123">
        <f>(F36*G36)-((F36-2*H36)*(G36-H36))</f>
        <v>1287.5</v>
      </c>
      <c r="J36" s="125">
        <f>(I36/1000000)*7870</f>
        <v>10.132625000000001</v>
      </c>
    </row>
    <row r="37" spans="1:11" ht="19.8">
      <c r="A37" s="390"/>
      <c r="B37" s="45" t="s">
        <v>522</v>
      </c>
      <c r="C37" s="144" t="s">
        <v>100</v>
      </c>
      <c r="D37" s="144" t="s">
        <v>98</v>
      </c>
      <c r="E37" s="66">
        <v>10</v>
      </c>
      <c r="F37" s="66"/>
      <c r="G37" s="66"/>
      <c r="H37" s="66"/>
      <c r="I37" s="123">
        <f>(PI()*E37^2)/4</f>
        <v>78.539816339744831</v>
      </c>
      <c r="J37" s="125">
        <f>(I37/1000000)*7870</f>
        <v>0.61810835459379176</v>
      </c>
    </row>
    <row r="38" spans="1:11" ht="38.25" customHeight="1"/>
    <row r="39" spans="1:11" ht="31.5" customHeight="1">
      <c r="A39" s="314" t="s">
        <v>1260</v>
      </c>
      <c r="B39" s="314"/>
      <c r="C39" s="314"/>
      <c r="D39" s="314"/>
      <c r="E39" s="314"/>
      <c r="F39" s="314"/>
      <c r="G39" s="314"/>
      <c r="H39" s="314"/>
      <c r="I39" s="314"/>
      <c r="J39" s="314"/>
      <c r="K39" s="314"/>
    </row>
    <row r="40" spans="1:11" ht="60">
      <c r="A40" s="393"/>
      <c r="B40" s="280" t="s">
        <v>89</v>
      </c>
      <c r="C40" s="394" t="s">
        <v>1263</v>
      </c>
      <c r="D40" s="395"/>
      <c r="E40" s="280" t="s">
        <v>1264</v>
      </c>
      <c r="F40" s="283" t="s">
        <v>1266</v>
      </c>
      <c r="G40" s="283" t="s">
        <v>1267</v>
      </c>
      <c r="H40" s="284" t="s">
        <v>1268</v>
      </c>
      <c r="I40" s="280" t="s">
        <v>1269</v>
      </c>
      <c r="J40" s="280" t="s">
        <v>1270</v>
      </c>
      <c r="K40" s="280" t="s">
        <v>1271</v>
      </c>
    </row>
    <row r="41" spans="1:11" ht="19.8">
      <c r="A41" s="390"/>
      <c r="B41" s="281" t="s">
        <v>1261</v>
      </c>
      <c r="C41" s="281" t="s">
        <v>1273</v>
      </c>
      <c r="D41" s="279"/>
      <c r="E41" s="66">
        <v>0.15</v>
      </c>
      <c r="F41" s="66">
        <v>32</v>
      </c>
      <c r="G41" s="66">
        <v>32</v>
      </c>
      <c r="H41" s="66">
        <v>12</v>
      </c>
      <c r="I41" s="123">
        <v>90</v>
      </c>
      <c r="J41" s="123">
        <v>25</v>
      </c>
      <c r="K41" s="123">
        <v>3</v>
      </c>
    </row>
    <row r="42" spans="1:11" ht="19.8">
      <c r="A42" s="390"/>
      <c r="B42" s="281" t="s">
        <v>1262</v>
      </c>
      <c r="C42" s="281" t="s">
        <v>1265</v>
      </c>
      <c r="D42" s="279"/>
      <c r="E42" s="66">
        <v>0.18</v>
      </c>
      <c r="F42" s="66">
        <v>33</v>
      </c>
      <c r="G42" s="66">
        <v>35</v>
      </c>
      <c r="H42" s="66">
        <v>15</v>
      </c>
      <c r="I42" s="123">
        <v>90</v>
      </c>
      <c r="J42" s="123">
        <v>25</v>
      </c>
      <c r="K42" s="123">
        <v>4</v>
      </c>
    </row>
  </sheetData>
  <mergeCells count="16">
    <mergeCell ref="A40:A42"/>
    <mergeCell ref="C40:D40"/>
    <mergeCell ref="A39:K39"/>
    <mergeCell ref="A1:C1"/>
    <mergeCell ref="K10:N10"/>
    <mergeCell ref="O10:R10"/>
    <mergeCell ref="A35:A37"/>
    <mergeCell ref="A28:J28"/>
    <mergeCell ref="A3:J3"/>
    <mergeCell ref="A10:J10"/>
    <mergeCell ref="A23:J23"/>
    <mergeCell ref="A34:J34"/>
    <mergeCell ref="A24:A26"/>
    <mergeCell ref="A29:A32"/>
    <mergeCell ref="A11:A21"/>
    <mergeCell ref="A4:A8"/>
  </mergeCells>
  <phoneticPr fontId="1"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0"/>
  <sheetViews>
    <sheetView workbookViewId="0">
      <selection activeCell="G1" sqref="G1"/>
    </sheetView>
  </sheetViews>
  <sheetFormatPr defaultRowHeight="16.2"/>
  <cols>
    <col min="1" max="1" width="11.44140625" customWidth="1"/>
    <col min="2" max="2" width="20.21875" bestFit="1" customWidth="1"/>
    <col min="3" max="3" width="17.44140625" bestFit="1" customWidth="1"/>
    <col min="4" max="5" width="11.88671875" bestFit="1" customWidth="1"/>
    <col min="15" max="16" width="11.88671875" bestFit="1" customWidth="1"/>
  </cols>
  <sheetData>
    <row r="1" spans="1:17" ht="22.2">
      <c r="A1" s="334" t="s">
        <v>979</v>
      </c>
      <c r="B1" s="334"/>
      <c r="C1" s="176"/>
    </row>
    <row r="2" spans="1:17" ht="22.2">
      <c r="A2" s="176"/>
      <c r="B2" s="176"/>
      <c r="C2" s="176"/>
    </row>
    <row r="3" spans="1:17" ht="19.8">
      <c r="A3" s="261" t="s">
        <v>1229</v>
      </c>
      <c r="B3" s="91" t="str">
        <f>'B43'!B5</f>
        <v>B型簡易溫室</v>
      </c>
      <c r="C3" s="169" t="s">
        <v>1233</v>
      </c>
      <c r="D3" s="123">
        <f>Q3</f>
        <v>450</v>
      </c>
      <c r="O3" s="169" t="s">
        <v>1231</v>
      </c>
      <c r="P3" s="261" t="s">
        <v>1232</v>
      </c>
      <c r="Q3" s="276">
        <f>SUM(Q5:Q61)</f>
        <v>450</v>
      </c>
    </row>
    <row r="4" spans="1:17" s="32" customFormat="1" ht="19.8">
      <c r="A4" s="175" t="s">
        <v>831</v>
      </c>
      <c r="B4" s="175" t="s">
        <v>832</v>
      </c>
      <c r="C4" s="175" t="s">
        <v>833</v>
      </c>
      <c r="D4" s="175" t="s">
        <v>828</v>
      </c>
      <c r="E4" s="179">
        <v>1</v>
      </c>
      <c r="F4" s="179">
        <v>2</v>
      </c>
      <c r="G4" s="179">
        <v>3</v>
      </c>
      <c r="H4" s="179">
        <v>4</v>
      </c>
      <c r="I4" s="179">
        <v>5</v>
      </c>
      <c r="J4" s="179">
        <v>6</v>
      </c>
      <c r="K4" s="179">
        <v>7</v>
      </c>
      <c r="L4" s="179">
        <v>8</v>
      </c>
      <c r="M4" s="179">
        <v>9</v>
      </c>
      <c r="N4" s="179">
        <v>10</v>
      </c>
      <c r="O4" s="179">
        <v>11</v>
      </c>
      <c r="P4" s="179">
        <v>12</v>
      </c>
      <c r="Q4" s="261" t="s">
        <v>1230</v>
      </c>
    </row>
    <row r="5" spans="1:17" s="32" customFormat="1" ht="19.5" customHeight="1">
      <c r="A5" s="179">
        <v>1</v>
      </c>
      <c r="B5" s="335" t="s">
        <v>834</v>
      </c>
      <c r="C5" s="335" t="s">
        <v>835</v>
      </c>
      <c r="D5" s="175" t="s">
        <v>829</v>
      </c>
      <c r="E5" s="272" t="str">
        <f>IF($C$70&lt;4,"V",0)</f>
        <v>V</v>
      </c>
      <c r="F5" s="272" t="str">
        <f t="shared" ref="F5" si="0">IF($C$70&lt;4,"V",0)</f>
        <v>V</v>
      </c>
      <c r="G5" s="272">
        <v>0</v>
      </c>
      <c r="H5" s="272">
        <v>0</v>
      </c>
      <c r="I5" s="272">
        <v>0</v>
      </c>
      <c r="J5" s="272">
        <v>0</v>
      </c>
      <c r="K5" s="272">
        <v>0</v>
      </c>
      <c r="L5" s="272">
        <v>0</v>
      </c>
      <c r="M5" s="272">
        <v>0</v>
      </c>
      <c r="N5" s="272">
        <v>0</v>
      </c>
      <c r="O5" s="272">
        <v>0</v>
      </c>
      <c r="P5" s="272">
        <v>0</v>
      </c>
      <c r="Q5" s="276">
        <f t="shared" ref="Q5:Q6" si="1">SUM(E5:P5)</f>
        <v>0</v>
      </c>
    </row>
    <row r="6" spans="1:17" s="32" customFormat="1" ht="19.5" customHeight="1">
      <c r="A6" s="179">
        <v>2</v>
      </c>
      <c r="B6" s="387"/>
      <c r="C6" s="387"/>
      <c r="D6" s="175" t="s">
        <v>830</v>
      </c>
      <c r="E6" s="272"/>
      <c r="F6" s="272"/>
      <c r="G6" s="272"/>
      <c r="H6" s="272"/>
      <c r="I6" s="272"/>
      <c r="J6" s="272"/>
      <c r="K6" s="272"/>
      <c r="L6" s="272"/>
      <c r="M6" s="272"/>
      <c r="N6" s="267"/>
      <c r="O6" s="267"/>
      <c r="P6" s="267"/>
      <c r="Q6" s="276">
        <f t="shared" si="1"/>
        <v>0</v>
      </c>
    </row>
    <row r="7" spans="1:17" s="32" customFormat="1" ht="19.5" customHeight="1">
      <c r="A7" s="242"/>
      <c r="B7" s="388"/>
      <c r="C7" s="388"/>
      <c r="D7" s="234" t="s">
        <v>1162</v>
      </c>
      <c r="E7" s="276">
        <f>IF(E5="V",5,0)</f>
        <v>5</v>
      </c>
      <c r="F7" s="276">
        <f t="shared" ref="F7:P7" si="2">IF(F5="V",5,0)</f>
        <v>5</v>
      </c>
      <c r="G7" s="276">
        <f t="shared" si="2"/>
        <v>0</v>
      </c>
      <c r="H7" s="276">
        <f t="shared" si="2"/>
        <v>0</v>
      </c>
      <c r="I7" s="276">
        <f t="shared" si="2"/>
        <v>0</v>
      </c>
      <c r="J7" s="276">
        <f t="shared" si="2"/>
        <v>0</v>
      </c>
      <c r="K7" s="276">
        <f t="shared" si="2"/>
        <v>0</v>
      </c>
      <c r="L7" s="276">
        <f t="shared" si="2"/>
        <v>0</v>
      </c>
      <c r="M7" s="276">
        <f t="shared" si="2"/>
        <v>0</v>
      </c>
      <c r="N7" s="276">
        <f t="shared" si="2"/>
        <v>0</v>
      </c>
      <c r="O7" s="276">
        <f t="shared" si="2"/>
        <v>0</v>
      </c>
      <c r="P7" s="276">
        <f t="shared" si="2"/>
        <v>0</v>
      </c>
      <c r="Q7" s="276">
        <f>SUM(E7:P7)</f>
        <v>10</v>
      </c>
    </row>
    <row r="8" spans="1:17" s="32" customFormat="1" ht="19.5" customHeight="1">
      <c r="A8" s="179">
        <v>3</v>
      </c>
      <c r="B8" s="335" t="s">
        <v>836</v>
      </c>
      <c r="C8" s="335" t="s">
        <v>841</v>
      </c>
      <c r="D8" s="175" t="s">
        <v>829</v>
      </c>
      <c r="E8" s="272" t="str">
        <f>IF($C$70&lt;6,"V",0)</f>
        <v>V</v>
      </c>
      <c r="F8" s="272" t="str">
        <f t="shared" ref="F8:J8" si="3">IF($C$70&lt;6,"V",0)</f>
        <v>V</v>
      </c>
      <c r="G8" s="272" t="str">
        <f t="shared" si="3"/>
        <v>V</v>
      </c>
      <c r="H8" s="272" t="str">
        <f t="shared" si="3"/>
        <v>V</v>
      </c>
      <c r="I8" s="272" t="str">
        <f t="shared" si="3"/>
        <v>V</v>
      </c>
      <c r="J8" s="272" t="str">
        <f t="shared" si="3"/>
        <v>V</v>
      </c>
      <c r="K8" s="276">
        <f>IF($C$70&gt;3,"V",0)</f>
        <v>0</v>
      </c>
      <c r="L8" s="276">
        <f>IF($C$70&gt;3,"V",0)</f>
        <v>0</v>
      </c>
      <c r="M8" s="276">
        <v>0</v>
      </c>
      <c r="N8" s="276">
        <v>0</v>
      </c>
      <c r="O8" s="276">
        <v>0</v>
      </c>
      <c r="P8" s="276">
        <v>0</v>
      </c>
      <c r="Q8" s="276">
        <f t="shared" ref="Q8:Q61" si="4">SUM(E8:P8)</f>
        <v>0</v>
      </c>
    </row>
    <row r="9" spans="1:17" s="32" customFormat="1" ht="19.5" customHeight="1">
      <c r="A9" s="242"/>
      <c r="B9" s="387"/>
      <c r="C9" s="387"/>
      <c r="D9" s="234" t="s">
        <v>830</v>
      </c>
      <c r="E9" s="272"/>
      <c r="F9" s="263"/>
      <c r="G9" s="263"/>
      <c r="H9" s="263"/>
      <c r="I9" s="272"/>
      <c r="J9" s="272"/>
      <c r="K9" s="272"/>
      <c r="L9" s="272"/>
      <c r="M9" s="272"/>
      <c r="N9" s="267"/>
      <c r="O9" s="267"/>
      <c r="P9" s="267"/>
      <c r="Q9" s="276">
        <f t="shared" si="4"/>
        <v>0</v>
      </c>
    </row>
    <row r="10" spans="1:17" s="32" customFormat="1" ht="19.5" customHeight="1">
      <c r="A10" s="179">
        <v>4</v>
      </c>
      <c r="B10" s="387"/>
      <c r="C10" s="388"/>
      <c r="D10" s="234" t="s">
        <v>1162</v>
      </c>
      <c r="E10" s="276">
        <f>IF(E8="V",5,0)</f>
        <v>5</v>
      </c>
      <c r="F10" s="276">
        <f t="shared" ref="F10:P10" si="5">IF(F8="V",5,0)</f>
        <v>5</v>
      </c>
      <c r="G10" s="276">
        <f t="shared" si="5"/>
        <v>5</v>
      </c>
      <c r="H10" s="276">
        <f t="shared" si="5"/>
        <v>5</v>
      </c>
      <c r="I10" s="276">
        <f t="shared" si="5"/>
        <v>5</v>
      </c>
      <c r="J10" s="276">
        <f t="shared" si="5"/>
        <v>5</v>
      </c>
      <c r="K10" s="276">
        <f t="shared" si="5"/>
        <v>0</v>
      </c>
      <c r="L10" s="276">
        <f t="shared" si="5"/>
        <v>0</v>
      </c>
      <c r="M10" s="276">
        <f t="shared" si="5"/>
        <v>0</v>
      </c>
      <c r="N10" s="276">
        <f t="shared" si="5"/>
        <v>0</v>
      </c>
      <c r="O10" s="276">
        <f t="shared" si="5"/>
        <v>0</v>
      </c>
      <c r="P10" s="276">
        <f t="shared" si="5"/>
        <v>0</v>
      </c>
      <c r="Q10" s="276">
        <f t="shared" si="4"/>
        <v>30</v>
      </c>
    </row>
    <row r="11" spans="1:17" s="32" customFormat="1" ht="19.5" customHeight="1">
      <c r="A11" s="179">
        <v>5</v>
      </c>
      <c r="B11" s="387"/>
      <c r="C11" s="335" t="s">
        <v>842</v>
      </c>
      <c r="D11" s="175" t="s">
        <v>829</v>
      </c>
      <c r="E11" s="272" t="str">
        <f>IF($C$70&lt;6,"V",0)</f>
        <v>V</v>
      </c>
      <c r="F11" s="272" t="str">
        <f t="shared" ref="F11:J11" si="6">IF($C$70&lt;6,"V",0)</f>
        <v>V</v>
      </c>
      <c r="G11" s="272" t="str">
        <f t="shared" si="6"/>
        <v>V</v>
      </c>
      <c r="H11" s="272" t="str">
        <f t="shared" si="6"/>
        <v>V</v>
      </c>
      <c r="I11" s="272" t="str">
        <f t="shared" si="6"/>
        <v>V</v>
      </c>
      <c r="J11" s="272" t="str">
        <f t="shared" si="6"/>
        <v>V</v>
      </c>
      <c r="K11" s="276">
        <f>IF($C$70&gt;3,"V",0)</f>
        <v>0</v>
      </c>
      <c r="L11" s="276">
        <f>IF($C$70&gt;3,"V",0)</f>
        <v>0</v>
      </c>
      <c r="M11" s="276">
        <v>0</v>
      </c>
      <c r="N11" s="276">
        <v>0</v>
      </c>
      <c r="O11" s="276">
        <v>0</v>
      </c>
      <c r="P11" s="276">
        <v>0</v>
      </c>
      <c r="Q11" s="276">
        <f t="shared" si="4"/>
        <v>0</v>
      </c>
    </row>
    <row r="12" spans="1:17" s="32" customFormat="1" ht="19.5" customHeight="1">
      <c r="A12" s="242"/>
      <c r="B12" s="387"/>
      <c r="C12" s="387"/>
      <c r="D12" s="234" t="s">
        <v>830</v>
      </c>
      <c r="E12" s="272"/>
      <c r="F12" s="263"/>
      <c r="G12" s="263"/>
      <c r="H12" s="263"/>
      <c r="I12" s="272"/>
      <c r="J12" s="272"/>
      <c r="K12" s="272"/>
      <c r="L12" s="272"/>
      <c r="M12" s="272"/>
      <c r="N12" s="267"/>
      <c r="O12" s="267"/>
      <c r="P12" s="267"/>
      <c r="Q12" s="276">
        <f t="shared" si="4"/>
        <v>0</v>
      </c>
    </row>
    <row r="13" spans="1:17" s="32" customFormat="1" ht="19.5" customHeight="1">
      <c r="A13" s="179">
        <v>6</v>
      </c>
      <c r="B13" s="387"/>
      <c r="C13" s="388"/>
      <c r="D13" s="234" t="s">
        <v>1162</v>
      </c>
      <c r="E13" s="276">
        <f>IF(E11="V",5,0)</f>
        <v>5</v>
      </c>
      <c r="F13" s="276">
        <f t="shared" ref="F13:P13" si="7">IF(F11="V",5,0)</f>
        <v>5</v>
      </c>
      <c r="G13" s="276">
        <f t="shared" si="7"/>
        <v>5</v>
      </c>
      <c r="H13" s="276">
        <f t="shared" si="7"/>
        <v>5</v>
      </c>
      <c r="I13" s="276">
        <f t="shared" si="7"/>
        <v>5</v>
      </c>
      <c r="J13" s="276">
        <f t="shared" si="7"/>
        <v>5</v>
      </c>
      <c r="K13" s="276">
        <f t="shared" si="7"/>
        <v>0</v>
      </c>
      <c r="L13" s="276">
        <f t="shared" si="7"/>
        <v>0</v>
      </c>
      <c r="M13" s="276">
        <f t="shared" si="7"/>
        <v>0</v>
      </c>
      <c r="N13" s="276">
        <f t="shared" si="7"/>
        <v>0</v>
      </c>
      <c r="O13" s="276">
        <f t="shared" si="7"/>
        <v>0</v>
      </c>
      <c r="P13" s="276">
        <f t="shared" si="7"/>
        <v>0</v>
      </c>
      <c r="Q13" s="276">
        <f t="shared" si="4"/>
        <v>30</v>
      </c>
    </row>
    <row r="14" spans="1:17" s="32" customFormat="1" ht="19.5" customHeight="1">
      <c r="A14" s="179">
        <v>7</v>
      </c>
      <c r="B14" s="387"/>
      <c r="C14" s="335" t="s">
        <v>843</v>
      </c>
      <c r="D14" s="175" t="s">
        <v>829</v>
      </c>
      <c r="E14" s="272" t="str">
        <f>IF($C$70&lt;6,"V",0)</f>
        <v>V</v>
      </c>
      <c r="F14" s="272" t="str">
        <f t="shared" ref="F14:J14" si="8">IF($C$70&lt;6,"V",0)</f>
        <v>V</v>
      </c>
      <c r="G14" s="272" t="str">
        <f t="shared" si="8"/>
        <v>V</v>
      </c>
      <c r="H14" s="272" t="str">
        <f t="shared" si="8"/>
        <v>V</v>
      </c>
      <c r="I14" s="272" t="str">
        <f t="shared" si="8"/>
        <v>V</v>
      </c>
      <c r="J14" s="272" t="str">
        <f t="shared" si="8"/>
        <v>V</v>
      </c>
      <c r="K14" s="276">
        <f>IF($C$70&gt;3,"V",0)</f>
        <v>0</v>
      </c>
      <c r="L14" s="276">
        <f>IF($C$70&gt;3,"V",0)</f>
        <v>0</v>
      </c>
      <c r="M14" s="276">
        <v>0</v>
      </c>
      <c r="N14" s="276">
        <v>0</v>
      </c>
      <c r="O14" s="276">
        <v>0</v>
      </c>
      <c r="P14" s="276">
        <v>0</v>
      </c>
      <c r="Q14" s="276">
        <f t="shared" si="4"/>
        <v>0</v>
      </c>
    </row>
    <row r="15" spans="1:17" s="32" customFormat="1" ht="19.5" customHeight="1">
      <c r="A15" s="242"/>
      <c r="B15" s="387"/>
      <c r="C15" s="387"/>
      <c r="D15" s="234" t="s">
        <v>830</v>
      </c>
      <c r="E15" s="263"/>
      <c r="F15" s="263"/>
      <c r="G15" s="263"/>
      <c r="H15" s="263"/>
      <c r="I15" s="272"/>
      <c r="J15" s="272"/>
      <c r="K15" s="272"/>
      <c r="L15" s="272"/>
      <c r="M15" s="272"/>
      <c r="N15" s="267"/>
      <c r="O15" s="267"/>
      <c r="P15" s="267"/>
      <c r="Q15" s="276">
        <f t="shared" si="4"/>
        <v>0</v>
      </c>
    </row>
    <row r="16" spans="1:17" s="32" customFormat="1" ht="20.25" customHeight="1">
      <c r="A16" s="179">
        <v>8</v>
      </c>
      <c r="B16" s="387"/>
      <c r="C16" s="388"/>
      <c r="D16" s="234" t="s">
        <v>1162</v>
      </c>
      <c r="E16" s="276">
        <f>IF(E14="V",5,0)</f>
        <v>5</v>
      </c>
      <c r="F16" s="276">
        <f t="shared" ref="F16:P16" si="9">IF(F14="V",5,0)</f>
        <v>5</v>
      </c>
      <c r="G16" s="276">
        <f t="shared" si="9"/>
        <v>5</v>
      </c>
      <c r="H16" s="276">
        <f t="shared" si="9"/>
        <v>5</v>
      </c>
      <c r="I16" s="276">
        <f t="shared" si="9"/>
        <v>5</v>
      </c>
      <c r="J16" s="276">
        <f t="shared" si="9"/>
        <v>5</v>
      </c>
      <c r="K16" s="276">
        <f t="shared" si="9"/>
        <v>0</v>
      </c>
      <c r="L16" s="276">
        <f t="shared" si="9"/>
        <v>0</v>
      </c>
      <c r="M16" s="276">
        <f t="shared" si="9"/>
        <v>0</v>
      </c>
      <c r="N16" s="276">
        <f t="shared" si="9"/>
        <v>0</v>
      </c>
      <c r="O16" s="276">
        <f t="shared" si="9"/>
        <v>0</v>
      </c>
      <c r="P16" s="276">
        <f t="shared" si="9"/>
        <v>0</v>
      </c>
      <c r="Q16" s="276">
        <f t="shared" si="4"/>
        <v>30</v>
      </c>
    </row>
    <row r="17" spans="1:17" s="32" customFormat="1" ht="19.5" customHeight="1">
      <c r="A17" s="179">
        <v>9</v>
      </c>
      <c r="B17" s="387"/>
      <c r="C17" s="335" t="s">
        <v>844</v>
      </c>
      <c r="D17" s="175" t="s">
        <v>829</v>
      </c>
      <c r="E17" s="272" t="str">
        <f>IF($C$70&lt;6,"V",0)</f>
        <v>V</v>
      </c>
      <c r="F17" s="272" t="str">
        <f t="shared" ref="F17:H17" si="10">IF($C$70&lt;6,"V",0)</f>
        <v>V</v>
      </c>
      <c r="G17" s="272" t="str">
        <f t="shared" si="10"/>
        <v>V</v>
      </c>
      <c r="H17" s="272" t="str">
        <f t="shared" si="10"/>
        <v>V</v>
      </c>
      <c r="I17" s="276">
        <f t="shared" ref="I17:J17" si="11">IF($C$70&gt;3,"V",0)</f>
        <v>0</v>
      </c>
      <c r="J17" s="276">
        <f t="shared" si="11"/>
        <v>0</v>
      </c>
      <c r="K17" s="276">
        <f>IF($C$70&gt;3,"V",0)</f>
        <v>0</v>
      </c>
      <c r="L17" s="276">
        <f>IF($C$70&gt;3,"V",0)</f>
        <v>0</v>
      </c>
      <c r="M17" s="276">
        <v>0</v>
      </c>
      <c r="N17" s="276">
        <v>0</v>
      </c>
      <c r="O17" s="276">
        <v>0</v>
      </c>
      <c r="P17" s="276">
        <v>0</v>
      </c>
      <c r="Q17" s="276">
        <f t="shared" si="4"/>
        <v>0</v>
      </c>
    </row>
    <row r="18" spans="1:17" s="32" customFormat="1" ht="19.5" customHeight="1">
      <c r="A18" s="242"/>
      <c r="B18" s="387"/>
      <c r="C18" s="387"/>
      <c r="D18" s="234" t="s">
        <v>830</v>
      </c>
      <c r="E18" s="263"/>
      <c r="F18" s="263"/>
      <c r="G18" s="263"/>
      <c r="H18" s="263"/>
      <c r="I18" s="272"/>
      <c r="J18" s="272"/>
      <c r="K18" s="272"/>
      <c r="L18" s="272"/>
      <c r="M18" s="272"/>
      <c r="N18" s="267"/>
      <c r="O18" s="267"/>
      <c r="P18" s="267"/>
      <c r="Q18" s="276">
        <f t="shared" si="4"/>
        <v>0</v>
      </c>
    </row>
    <row r="19" spans="1:17" s="32" customFormat="1" ht="19.5" customHeight="1">
      <c r="A19" s="179">
        <v>10</v>
      </c>
      <c r="B19" s="387"/>
      <c r="C19" s="388"/>
      <c r="D19" s="234" t="s">
        <v>1162</v>
      </c>
      <c r="E19" s="276">
        <f>IF(E17="V",5,0)</f>
        <v>5</v>
      </c>
      <c r="F19" s="276">
        <f t="shared" ref="F19:P19" si="12">IF(F17="V",5,0)</f>
        <v>5</v>
      </c>
      <c r="G19" s="276">
        <f t="shared" si="12"/>
        <v>5</v>
      </c>
      <c r="H19" s="276">
        <f t="shared" si="12"/>
        <v>5</v>
      </c>
      <c r="I19" s="276">
        <f t="shared" si="12"/>
        <v>0</v>
      </c>
      <c r="J19" s="276">
        <f t="shared" si="12"/>
        <v>0</v>
      </c>
      <c r="K19" s="276">
        <f t="shared" si="12"/>
        <v>0</v>
      </c>
      <c r="L19" s="276">
        <f t="shared" si="12"/>
        <v>0</v>
      </c>
      <c r="M19" s="276">
        <f t="shared" si="12"/>
        <v>0</v>
      </c>
      <c r="N19" s="276">
        <f t="shared" si="12"/>
        <v>0</v>
      </c>
      <c r="O19" s="276">
        <f t="shared" si="12"/>
        <v>0</v>
      </c>
      <c r="P19" s="276">
        <f t="shared" si="12"/>
        <v>0</v>
      </c>
      <c r="Q19" s="276">
        <f t="shared" si="4"/>
        <v>20</v>
      </c>
    </row>
    <row r="20" spans="1:17" s="32" customFormat="1" ht="19.5" customHeight="1">
      <c r="A20" s="179">
        <v>11</v>
      </c>
      <c r="B20" s="387"/>
      <c r="C20" s="335" t="s">
        <v>845</v>
      </c>
      <c r="D20" s="175" t="s">
        <v>829</v>
      </c>
      <c r="E20" s="272" t="str">
        <f>IF($C$70&lt;6,"V",0)</f>
        <v>V</v>
      </c>
      <c r="F20" s="272" t="str">
        <f t="shared" ref="F20:J20" si="13">IF($C$70&lt;6,"V",0)</f>
        <v>V</v>
      </c>
      <c r="G20" s="272" t="str">
        <f t="shared" si="13"/>
        <v>V</v>
      </c>
      <c r="H20" s="272" t="str">
        <f t="shared" si="13"/>
        <v>V</v>
      </c>
      <c r="I20" s="272" t="str">
        <f t="shared" si="13"/>
        <v>V</v>
      </c>
      <c r="J20" s="272" t="str">
        <f t="shared" si="13"/>
        <v>V</v>
      </c>
      <c r="K20" s="276">
        <f>IF($C$70&gt;3,"V",0)</f>
        <v>0</v>
      </c>
      <c r="L20" s="276">
        <f>IF($C$70&gt;3,"V",0)</f>
        <v>0</v>
      </c>
      <c r="M20" s="276">
        <v>0</v>
      </c>
      <c r="N20" s="276">
        <v>0</v>
      </c>
      <c r="O20" s="276">
        <v>0</v>
      </c>
      <c r="P20" s="276">
        <v>0</v>
      </c>
      <c r="Q20" s="276">
        <f t="shared" si="4"/>
        <v>0</v>
      </c>
    </row>
    <row r="21" spans="1:17" s="32" customFormat="1" ht="19.5" customHeight="1">
      <c r="A21" s="242"/>
      <c r="B21" s="387"/>
      <c r="C21" s="387"/>
      <c r="D21" s="234" t="s">
        <v>830</v>
      </c>
      <c r="E21" s="263"/>
      <c r="F21" s="263"/>
      <c r="G21" s="263"/>
      <c r="H21" s="263"/>
      <c r="I21" s="272"/>
      <c r="J21" s="272"/>
      <c r="K21" s="272"/>
      <c r="L21" s="272"/>
      <c r="M21" s="272"/>
      <c r="N21" s="267"/>
      <c r="O21" s="267"/>
      <c r="P21" s="267"/>
      <c r="Q21" s="276">
        <f t="shared" si="4"/>
        <v>0</v>
      </c>
    </row>
    <row r="22" spans="1:17" s="32" customFormat="1" ht="19.5" customHeight="1">
      <c r="A22" s="179">
        <v>12</v>
      </c>
      <c r="B22" s="387"/>
      <c r="C22" s="388"/>
      <c r="D22" s="234" t="s">
        <v>1162</v>
      </c>
      <c r="E22" s="276">
        <f>IF(E20="V",5,0)</f>
        <v>5</v>
      </c>
      <c r="F22" s="276">
        <f t="shared" ref="F22:P22" si="14">IF(F20="V",5,0)</f>
        <v>5</v>
      </c>
      <c r="G22" s="276">
        <f t="shared" si="14"/>
        <v>5</v>
      </c>
      <c r="H22" s="276">
        <f t="shared" si="14"/>
        <v>5</v>
      </c>
      <c r="I22" s="276">
        <f t="shared" si="14"/>
        <v>5</v>
      </c>
      <c r="J22" s="276">
        <f t="shared" si="14"/>
        <v>5</v>
      </c>
      <c r="K22" s="276">
        <f t="shared" si="14"/>
        <v>0</v>
      </c>
      <c r="L22" s="276">
        <f t="shared" si="14"/>
        <v>0</v>
      </c>
      <c r="M22" s="276">
        <f t="shared" si="14"/>
        <v>0</v>
      </c>
      <c r="N22" s="276">
        <f t="shared" si="14"/>
        <v>0</v>
      </c>
      <c r="O22" s="276">
        <f t="shared" si="14"/>
        <v>0</v>
      </c>
      <c r="P22" s="276">
        <f t="shared" si="14"/>
        <v>0</v>
      </c>
      <c r="Q22" s="276">
        <f t="shared" si="4"/>
        <v>30</v>
      </c>
    </row>
    <row r="23" spans="1:17" s="32" customFormat="1" ht="19.5" customHeight="1">
      <c r="A23" s="179">
        <v>13</v>
      </c>
      <c r="B23" s="387"/>
      <c r="C23" s="335" t="s">
        <v>846</v>
      </c>
      <c r="D23" s="175" t="s">
        <v>829</v>
      </c>
      <c r="E23" s="272" t="str">
        <f>IF($C$70&lt;6,"V",0)</f>
        <v>V</v>
      </c>
      <c r="F23" s="272" t="str">
        <f t="shared" ref="F23:J23" si="15">IF($C$70&lt;6,"V",0)</f>
        <v>V</v>
      </c>
      <c r="G23" s="272" t="str">
        <f t="shared" si="15"/>
        <v>V</v>
      </c>
      <c r="H23" s="272" t="str">
        <f t="shared" si="15"/>
        <v>V</v>
      </c>
      <c r="I23" s="272" t="str">
        <f t="shared" si="15"/>
        <v>V</v>
      </c>
      <c r="J23" s="272" t="str">
        <f t="shared" si="15"/>
        <v>V</v>
      </c>
      <c r="K23" s="276">
        <f>IF($C$70&gt;3,"V",0)</f>
        <v>0</v>
      </c>
      <c r="L23" s="276">
        <f>IF($C$70&gt;3,"V",0)</f>
        <v>0</v>
      </c>
      <c r="M23" s="276">
        <v>0</v>
      </c>
      <c r="N23" s="276">
        <v>0</v>
      </c>
      <c r="O23" s="276">
        <v>0</v>
      </c>
      <c r="P23" s="276">
        <v>0</v>
      </c>
      <c r="Q23" s="276">
        <f t="shared" si="4"/>
        <v>0</v>
      </c>
    </row>
    <row r="24" spans="1:17" s="32" customFormat="1" ht="19.5" customHeight="1">
      <c r="A24" s="242"/>
      <c r="B24" s="387"/>
      <c r="C24" s="387"/>
      <c r="D24" s="234" t="s">
        <v>830</v>
      </c>
      <c r="E24" s="263"/>
      <c r="F24" s="263"/>
      <c r="G24" s="263"/>
      <c r="H24" s="263"/>
      <c r="I24" s="272"/>
      <c r="J24" s="272"/>
      <c r="K24" s="272"/>
      <c r="L24" s="272"/>
      <c r="M24" s="272"/>
      <c r="N24" s="267"/>
      <c r="O24" s="267"/>
      <c r="P24" s="267"/>
      <c r="Q24" s="276">
        <f t="shared" si="4"/>
        <v>0</v>
      </c>
    </row>
    <row r="25" spans="1:17" s="32" customFormat="1" ht="19.5" customHeight="1">
      <c r="A25" s="179">
        <v>14</v>
      </c>
      <c r="B25" s="388"/>
      <c r="C25" s="388"/>
      <c r="D25" s="234" t="s">
        <v>1162</v>
      </c>
      <c r="E25" s="276">
        <f>IF(E23="V",5,0)</f>
        <v>5</v>
      </c>
      <c r="F25" s="276">
        <f t="shared" ref="F25:P25" si="16">IF(F23="V",5,0)</f>
        <v>5</v>
      </c>
      <c r="G25" s="276">
        <f t="shared" si="16"/>
        <v>5</v>
      </c>
      <c r="H25" s="276">
        <f t="shared" si="16"/>
        <v>5</v>
      </c>
      <c r="I25" s="276">
        <f t="shared" si="16"/>
        <v>5</v>
      </c>
      <c r="J25" s="276">
        <f t="shared" si="16"/>
        <v>5</v>
      </c>
      <c r="K25" s="276">
        <f t="shared" si="16"/>
        <v>0</v>
      </c>
      <c r="L25" s="276">
        <f t="shared" si="16"/>
        <v>0</v>
      </c>
      <c r="M25" s="276">
        <f t="shared" si="16"/>
        <v>0</v>
      </c>
      <c r="N25" s="276">
        <f t="shared" si="16"/>
        <v>0</v>
      </c>
      <c r="O25" s="276">
        <f t="shared" si="16"/>
        <v>0</v>
      </c>
      <c r="P25" s="276">
        <f t="shared" si="16"/>
        <v>0</v>
      </c>
      <c r="Q25" s="276">
        <f t="shared" si="4"/>
        <v>30</v>
      </c>
    </row>
    <row r="26" spans="1:17" s="32" customFormat="1" ht="19.5" customHeight="1">
      <c r="A26" s="179">
        <v>15</v>
      </c>
      <c r="B26" s="335" t="s">
        <v>840</v>
      </c>
      <c r="C26" s="335" t="s">
        <v>847</v>
      </c>
      <c r="D26" s="175" t="s">
        <v>829</v>
      </c>
      <c r="E26" s="272" t="str">
        <f>IF($C$70&lt;6,"V",0)</f>
        <v>V</v>
      </c>
      <c r="F26" s="272" t="str">
        <f t="shared" ref="F26:J26" si="17">IF($C$70&lt;6,"V",0)</f>
        <v>V</v>
      </c>
      <c r="G26" s="272" t="str">
        <f t="shared" si="17"/>
        <v>V</v>
      </c>
      <c r="H26" s="272" t="str">
        <f t="shared" si="17"/>
        <v>V</v>
      </c>
      <c r="I26" s="272" t="str">
        <f t="shared" si="17"/>
        <v>V</v>
      </c>
      <c r="J26" s="272" t="str">
        <f t="shared" si="17"/>
        <v>V</v>
      </c>
      <c r="K26" s="276">
        <f>IF($C$70&gt;3,"V",0)</f>
        <v>0</v>
      </c>
      <c r="L26" s="276">
        <f>IF($C$70&gt;3,"V",0)</f>
        <v>0</v>
      </c>
      <c r="M26" s="276">
        <v>0</v>
      </c>
      <c r="N26" s="276">
        <v>0</v>
      </c>
      <c r="O26" s="276">
        <v>0</v>
      </c>
      <c r="P26" s="276">
        <v>0</v>
      </c>
      <c r="Q26" s="276">
        <f t="shared" si="4"/>
        <v>0</v>
      </c>
    </row>
    <row r="27" spans="1:17" s="32" customFormat="1" ht="19.5" customHeight="1">
      <c r="A27" s="242"/>
      <c r="B27" s="387"/>
      <c r="C27" s="387"/>
      <c r="D27" s="234" t="s">
        <v>830</v>
      </c>
      <c r="E27" s="263"/>
      <c r="F27" s="263"/>
      <c r="G27" s="263"/>
      <c r="H27" s="263"/>
      <c r="I27" s="272"/>
      <c r="J27" s="272"/>
      <c r="K27" s="272"/>
      <c r="L27" s="272"/>
      <c r="M27" s="272"/>
      <c r="N27" s="267"/>
      <c r="O27" s="267"/>
      <c r="P27" s="267"/>
      <c r="Q27" s="276">
        <f t="shared" si="4"/>
        <v>0</v>
      </c>
    </row>
    <row r="28" spans="1:17" s="32" customFormat="1" ht="20.25" customHeight="1">
      <c r="A28" s="179">
        <v>16</v>
      </c>
      <c r="B28" s="387"/>
      <c r="C28" s="388"/>
      <c r="D28" s="234" t="s">
        <v>1162</v>
      </c>
      <c r="E28" s="276">
        <f>IF(E26="V",5,0)</f>
        <v>5</v>
      </c>
      <c r="F28" s="276">
        <f t="shared" ref="F28:P28" si="18">IF(F26="V",5,0)</f>
        <v>5</v>
      </c>
      <c r="G28" s="276">
        <f t="shared" si="18"/>
        <v>5</v>
      </c>
      <c r="H28" s="276">
        <f t="shared" si="18"/>
        <v>5</v>
      </c>
      <c r="I28" s="276">
        <f t="shared" si="18"/>
        <v>5</v>
      </c>
      <c r="J28" s="276">
        <f t="shared" si="18"/>
        <v>5</v>
      </c>
      <c r="K28" s="276">
        <f t="shared" si="18"/>
        <v>0</v>
      </c>
      <c r="L28" s="276">
        <f t="shared" si="18"/>
        <v>0</v>
      </c>
      <c r="M28" s="276">
        <f t="shared" si="18"/>
        <v>0</v>
      </c>
      <c r="N28" s="276">
        <f t="shared" si="18"/>
        <v>0</v>
      </c>
      <c r="O28" s="276">
        <f t="shared" si="18"/>
        <v>0</v>
      </c>
      <c r="P28" s="276">
        <f t="shared" si="18"/>
        <v>0</v>
      </c>
      <c r="Q28" s="276">
        <f t="shared" si="4"/>
        <v>30</v>
      </c>
    </row>
    <row r="29" spans="1:17" s="32" customFormat="1" ht="19.5" customHeight="1">
      <c r="A29" s="179">
        <v>17</v>
      </c>
      <c r="B29" s="387"/>
      <c r="C29" s="335" t="s">
        <v>848</v>
      </c>
      <c r="D29" s="175" t="s">
        <v>829</v>
      </c>
      <c r="E29" s="272" t="str">
        <f>IF($C$70&lt;6,"V",0)</f>
        <v>V</v>
      </c>
      <c r="F29" s="272" t="str">
        <f t="shared" ref="F29:J29" si="19">IF($C$70&lt;6,"V",0)</f>
        <v>V</v>
      </c>
      <c r="G29" s="272" t="str">
        <f t="shared" si="19"/>
        <v>V</v>
      </c>
      <c r="H29" s="272" t="str">
        <f t="shared" si="19"/>
        <v>V</v>
      </c>
      <c r="I29" s="272" t="str">
        <f t="shared" si="19"/>
        <v>V</v>
      </c>
      <c r="J29" s="272" t="str">
        <f t="shared" si="19"/>
        <v>V</v>
      </c>
      <c r="K29" s="276">
        <f>IF($C$70&gt;3,"V",0)</f>
        <v>0</v>
      </c>
      <c r="L29" s="276">
        <f>IF($C$70&gt;3,"V",0)</f>
        <v>0</v>
      </c>
      <c r="M29" s="276">
        <v>0</v>
      </c>
      <c r="N29" s="276">
        <v>0</v>
      </c>
      <c r="O29" s="276">
        <v>0</v>
      </c>
      <c r="P29" s="276">
        <v>0</v>
      </c>
      <c r="Q29" s="276">
        <f t="shared" si="4"/>
        <v>0</v>
      </c>
    </row>
    <row r="30" spans="1:17" s="32" customFormat="1" ht="19.5" customHeight="1">
      <c r="A30" s="242"/>
      <c r="B30" s="387"/>
      <c r="C30" s="387"/>
      <c r="D30" s="234" t="s">
        <v>830</v>
      </c>
      <c r="E30" s="263"/>
      <c r="F30" s="263"/>
      <c r="G30" s="263"/>
      <c r="H30" s="263"/>
      <c r="I30" s="272"/>
      <c r="J30" s="272"/>
      <c r="K30" s="272"/>
      <c r="L30" s="272"/>
      <c r="M30" s="272"/>
      <c r="N30" s="267"/>
      <c r="O30" s="267"/>
      <c r="P30" s="267"/>
      <c r="Q30" s="276">
        <f t="shared" si="4"/>
        <v>0</v>
      </c>
    </row>
    <row r="31" spans="1:17" s="32" customFormat="1" ht="19.5" customHeight="1">
      <c r="A31" s="179">
        <v>18</v>
      </c>
      <c r="B31" s="387"/>
      <c r="C31" s="388"/>
      <c r="D31" s="234" t="s">
        <v>1162</v>
      </c>
      <c r="E31" s="276">
        <f>IF(E29="V",5,0)</f>
        <v>5</v>
      </c>
      <c r="F31" s="276">
        <f t="shared" ref="F31:P31" si="20">IF(F29="V",5,0)</f>
        <v>5</v>
      </c>
      <c r="G31" s="276">
        <f t="shared" si="20"/>
        <v>5</v>
      </c>
      <c r="H31" s="276">
        <f t="shared" si="20"/>
        <v>5</v>
      </c>
      <c r="I31" s="276">
        <f t="shared" si="20"/>
        <v>5</v>
      </c>
      <c r="J31" s="276">
        <f t="shared" si="20"/>
        <v>5</v>
      </c>
      <c r="K31" s="276">
        <f t="shared" si="20"/>
        <v>0</v>
      </c>
      <c r="L31" s="276">
        <f t="shared" si="20"/>
        <v>0</v>
      </c>
      <c r="M31" s="276">
        <f t="shared" si="20"/>
        <v>0</v>
      </c>
      <c r="N31" s="276">
        <f t="shared" si="20"/>
        <v>0</v>
      </c>
      <c r="O31" s="276">
        <f t="shared" si="20"/>
        <v>0</v>
      </c>
      <c r="P31" s="276">
        <f t="shared" si="20"/>
        <v>0</v>
      </c>
      <c r="Q31" s="276">
        <f t="shared" si="4"/>
        <v>30</v>
      </c>
    </row>
    <row r="32" spans="1:17" s="32" customFormat="1" ht="19.5" customHeight="1">
      <c r="A32" s="179">
        <v>19</v>
      </c>
      <c r="B32" s="387"/>
      <c r="C32" s="335" t="s">
        <v>849</v>
      </c>
      <c r="D32" s="175" t="s">
        <v>829</v>
      </c>
      <c r="E32" s="272" t="str">
        <f>IF($C$70&gt;3,"V","0")</f>
        <v>0</v>
      </c>
      <c r="F32" s="272" t="str">
        <f t="shared" ref="F32:J32" si="21">IF($C$70&gt;3,"V","0")</f>
        <v>0</v>
      </c>
      <c r="G32" s="272" t="str">
        <f t="shared" si="21"/>
        <v>0</v>
      </c>
      <c r="H32" s="272" t="str">
        <f t="shared" si="21"/>
        <v>0</v>
      </c>
      <c r="I32" s="272" t="str">
        <f t="shared" si="21"/>
        <v>0</v>
      </c>
      <c r="J32" s="272" t="str">
        <f t="shared" si="21"/>
        <v>0</v>
      </c>
      <c r="K32" s="276">
        <f>IF($C$70&gt;3,"V",0)</f>
        <v>0</v>
      </c>
      <c r="L32" s="276">
        <f>IF($C$70&gt;3,"V",0)</f>
        <v>0</v>
      </c>
      <c r="M32" s="276">
        <v>0</v>
      </c>
      <c r="N32" s="276">
        <v>0</v>
      </c>
      <c r="O32" s="276">
        <v>0</v>
      </c>
      <c r="P32" s="276">
        <v>0</v>
      </c>
      <c r="Q32" s="276">
        <f t="shared" si="4"/>
        <v>0</v>
      </c>
    </row>
    <row r="33" spans="1:17" s="32" customFormat="1" ht="19.5" customHeight="1">
      <c r="A33" s="242"/>
      <c r="B33" s="387"/>
      <c r="C33" s="387"/>
      <c r="D33" s="234" t="s">
        <v>830</v>
      </c>
      <c r="E33" s="263"/>
      <c r="F33" s="263"/>
      <c r="G33" s="263"/>
      <c r="H33" s="263"/>
      <c r="I33" s="272"/>
      <c r="J33" s="272"/>
      <c r="K33" s="272"/>
      <c r="L33" s="272"/>
      <c r="M33" s="272"/>
      <c r="N33" s="267"/>
      <c r="O33" s="267"/>
      <c r="P33" s="267"/>
      <c r="Q33" s="276">
        <f t="shared" si="4"/>
        <v>0</v>
      </c>
    </row>
    <row r="34" spans="1:17" s="32" customFormat="1" ht="19.5" customHeight="1">
      <c r="A34" s="179">
        <v>20</v>
      </c>
      <c r="B34" s="387"/>
      <c r="C34" s="388"/>
      <c r="D34" s="234" t="s">
        <v>1162</v>
      </c>
      <c r="E34" s="276">
        <f>IF(E32="V",5,0)</f>
        <v>0</v>
      </c>
      <c r="F34" s="276">
        <f t="shared" ref="F34:P34" si="22">IF(F32="V",5,0)</f>
        <v>0</v>
      </c>
      <c r="G34" s="276">
        <f t="shared" si="22"/>
        <v>0</v>
      </c>
      <c r="H34" s="276">
        <f t="shared" si="22"/>
        <v>0</v>
      </c>
      <c r="I34" s="276">
        <f t="shared" si="22"/>
        <v>0</v>
      </c>
      <c r="J34" s="276">
        <f t="shared" si="22"/>
        <v>0</v>
      </c>
      <c r="K34" s="276">
        <f t="shared" si="22"/>
        <v>0</v>
      </c>
      <c r="L34" s="276">
        <f t="shared" si="22"/>
        <v>0</v>
      </c>
      <c r="M34" s="276">
        <f t="shared" si="22"/>
        <v>0</v>
      </c>
      <c r="N34" s="276">
        <f t="shared" si="22"/>
        <v>0</v>
      </c>
      <c r="O34" s="276">
        <f t="shared" si="22"/>
        <v>0</v>
      </c>
      <c r="P34" s="276">
        <f t="shared" si="22"/>
        <v>0</v>
      </c>
      <c r="Q34" s="276">
        <f t="shared" si="4"/>
        <v>0</v>
      </c>
    </row>
    <row r="35" spans="1:17" s="32" customFormat="1" ht="19.5" customHeight="1">
      <c r="A35" s="179">
        <v>21</v>
      </c>
      <c r="B35" s="387"/>
      <c r="C35" s="335" t="s">
        <v>850</v>
      </c>
      <c r="D35" s="175" t="s">
        <v>829</v>
      </c>
      <c r="E35" s="272" t="str">
        <f>IF($C$70&lt;6,"V",0)</f>
        <v>V</v>
      </c>
      <c r="F35" s="272" t="str">
        <f t="shared" ref="F35:J35" si="23">IF($C$70&lt;6,"V",0)</f>
        <v>V</v>
      </c>
      <c r="G35" s="272" t="str">
        <f t="shared" si="23"/>
        <v>V</v>
      </c>
      <c r="H35" s="272" t="str">
        <f t="shared" si="23"/>
        <v>V</v>
      </c>
      <c r="I35" s="272" t="str">
        <f t="shared" si="23"/>
        <v>V</v>
      </c>
      <c r="J35" s="272" t="str">
        <f t="shared" si="23"/>
        <v>V</v>
      </c>
      <c r="K35" s="276">
        <f>IF($C$70&gt;3,"V",0)</f>
        <v>0</v>
      </c>
      <c r="L35" s="276">
        <f>IF($C$70&gt;3,"V",0)</f>
        <v>0</v>
      </c>
      <c r="M35" s="276">
        <v>0</v>
      </c>
      <c r="N35" s="276">
        <v>0</v>
      </c>
      <c r="O35" s="276">
        <v>0</v>
      </c>
      <c r="P35" s="276">
        <v>0</v>
      </c>
      <c r="Q35" s="276">
        <f t="shared" si="4"/>
        <v>0</v>
      </c>
    </row>
    <row r="36" spans="1:17" s="32" customFormat="1" ht="19.5" customHeight="1">
      <c r="A36" s="242"/>
      <c r="B36" s="387"/>
      <c r="C36" s="387"/>
      <c r="D36" s="234" t="s">
        <v>830</v>
      </c>
      <c r="E36" s="272"/>
      <c r="F36" s="263"/>
      <c r="G36" s="263"/>
      <c r="H36" s="263"/>
      <c r="I36" s="272"/>
      <c r="J36" s="272"/>
      <c r="K36" s="272"/>
      <c r="L36" s="272"/>
      <c r="M36" s="272"/>
      <c r="N36" s="267"/>
      <c r="O36" s="267"/>
      <c r="P36" s="267"/>
      <c r="Q36" s="276">
        <f t="shared" si="4"/>
        <v>0</v>
      </c>
    </row>
    <row r="37" spans="1:17" s="32" customFormat="1" ht="19.5" customHeight="1">
      <c r="A37" s="179">
        <v>22</v>
      </c>
      <c r="B37" s="387"/>
      <c r="C37" s="388"/>
      <c r="D37" s="234" t="s">
        <v>1162</v>
      </c>
      <c r="E37" s="276">
        <f>IF(E35="V",5,0)</f>
        <v>5</v>
      </c>
      <c r="F37" s="276">
        <f t="shared" ref="F37:P37" si="24">IF(F35="V",5,0)</f>
        <v>5</v>
      </c>
      <c r="G37" s="276">
        <f t="shared" si="24"/>
        <v>5</v>
      </c>
      <c r="H37" s="276">
        <f t="shared" si="24"/>
        <v>5</v>
      </c>
      <c r="I37" s="276">
        <f t="shared" si="24"/>
        <v>5</v>
      </c>
      <c r="J37" s="276">
        <f t="shared" si="24"/>
        <v>5</v>
      </c>
      <c r="K37" s="276">
        <f t="shared" si="24"/>
        <v>0</v>
      </c>
      <c r="L37" s="276">
        <f t="shared" si="24"/>
        <v>0</v>
      </c>
      <c r="M37" s="276">
        <f t="shared" si="24"/>
        <v>0</v>
      </c>
      <c r="N37" s="276">
        <f t="shared" si="24"/>
        <v>0</v>
      </c>
      <c r="O37" s="276">
        <f t="shared" si="24"/>
        <v>0</v>
      </c>
      <c r="P37" s="276">
        <f t="shared" si="24"/>
        <v>0</v>
      </c>
      <c r="Q37" s="276">
        <f t="shared" si="4"/>
        <v>30</v>
      </c>
    </row>
    <row r="38" spans="1:17" s="32" customFormat="1" ht="19.5" customHeight="1">
      <c r="A38" s="179">
        <v>23</v>
      </c>
      <c r="B38" s="387"/>
      <c r="C38" s="335" t="s">
        <v>851</v>
      </c>
      <c r="D38" s="175" t="s">
        <v>829</v>
      </c>
      <c r="E38" s="272" t="str">
        <f>IF($C$70&lt;6,"V",0)</f>
        <v>V</v>
      </c>
      <c r="F38" s="272" t="str">
        <f t="shared" ref="F38:J38" si="25">IF($C$70&lt;6,"V",0)</f>
        <v>V</v>
      </c>
      <c r="G38" s="272" t="str">
        <f t="shared" si="25"/>
        <v>V</v>
      </c>
      <c r="H38" s="272" t="str">
        <f t="shared" si="25"/>
        <v>V</v>
      </c>
      <c r="I38" s="272" t="str">
        <f t="shared" si="25"/>
        <v>V</v>
      </c>
      <c r="J38" s="272" t="str">
        <f t="shared" si="25"/>
        <v>V</v>
      </c>
      <c r="K38" s="276">
        <f>IF($C$70&gt;3,"V",0)</f>
        <v>0</v>
      </c>
      <c r="L38" s="276">
        <f>IF($C$70&gt;3,"V",0)</f>
        <v>0</v>
      </c>
      <c r="M38" s="276">
        <v>0</v>
      </c>
      <c r="N38" s="276">
        <v>0</v>
      </c>
      <c r="O38" s="276">
        <v>0</v>
      </c>
      <c r="P38" s="276">
        <v>0</v>
      </c>
      <c r="Q38" s="276">
        <f t="shared" si="4"/>
        <v>0</v>
      </c>
    </row>
    <row r="39" spans="1:17" s="32" customFormat="1" ht="19.5" customHeight="1">
      <c r="A39" s="242"/>
      <c r="B39" s="387"/>
      <c r="C39" s="387"/>
      <c r="D39" s="234" t="s">
        <v>830</v>
      </c>
      <c r="E39" s="272"/>
      <c r="F39" s="263"/>
      <c r="G39" s="263"/>
      <c r="H39" s="263"/>
      <c r="I39" s="272"/>
      <c r="J39" s="272"/>
      <c r="K39" s="272"/>
      <c r="L39" s="272"/>
      <c r="M39" s="272"/>
      <c r="N39" s="267"/>
      <c r="O39" s="267"/>
      <c r="P39" s="267"/>
      <c r="Q39" s="276">
        <f t="shared" si="4"/>
        <v>0</v>
      </c>
    </row>
    <row r="40" spans="1:17" s="32" customFormat="1" ht="20.25" customHeight="1">
      <c r="A40" s="179">
        <v>24</v>
      </c>
      <c r="B40" s="387"/>
      <c r="C40" s="388"/>
      <c r="D40" s="234" t="s">
        <v>1162</v>
      </c>
      <c r="E40" s="276">
        <f>IF(E38="V",5,0)</f>
        <v>5</v>
      </c>
      <c r="F40" s="276">
        <f t="shared" ref="F40:P40" si="26">IF(F38="V",5,0)</f>
        <v>5</v>
      </c>
      <c r="G40" s="276">
        <f t="shared" si="26"/>
        <v>5</v>
      </c>
      <c r="H40" s="276">
        <f t="shared" si="26"/>
        <v>5</v>
      </c>
      <c r="I40" s="276">
        <f t="shared" si="26"/>
        <v>5</v>
      </c>
      <c r="J40" s="276">
        <f t="shared" si="26"/>
        <v>5</v>
      </c>
      <c r="K40" s="276">
        <f t="shared" si="26"/>
        <v>0</v>
      </c>
      <c r="L40" s="276">
        <f t="shared" si="26"/>
        <v>0</v>
      </c>
      <c r="M40" s="276">
        <f t="shared" si="26"/>
        <v>0</v>
      </c>
      <c r="N40" s="276">
        <f t="shared" si="26"/>
        <v>0</v>
      </c>
      <c r="O40" s="276">
        <f t="shared" si="26"/>
        <v>0</v>
      </c>
      <c r="P40" s="276">
        <f t="shared" si="26"/>
        <v>0</v>
      </c>
      <c r="Q40" s="276">
        <f t="shared" si="4"/>
        <v>30</v>
      </c>
    </row>
    <row r="41" spans="1:17" s="32" customFormat="1" ht="19.5" customHeight="1">
      <c r="A41" s="179">
        <v>25</v>
      </c>
      <c r="B41" s="387"/>
      <c r="C41" s="335" t="s">
        <v>852</v>
      </c>
      <c r="D41" s="175" t="s">
        <v>829</v>
      </c>
      <c r="E41" s="272" t="str">
        <f>IF($C$70&lt;6,"V",0)</f>
        <v>V</v>
      </c>
      <c r="F41" s="272" t="str">
        <f t="shared" ref="F41:J41" si="27">IF($C$70&lt;6,"V",0)</f>
        <v>V</v>
      </c>
      <c r="G41" s="272" t="str">
        <f t="shared" si="27"/>
        <v>V</v>
      </c>
      <c r="H41" s="272" t="str">
        <f t="shared" si="27"/>
        <v>V</v>
      </c>
      <c r="I41" s="272" t="str">
        <f t="shared" si="27"/>
        <v>V</v>
      </c>
      <c r="J41" s="272" t="str">
        <f t="shared" si="27"/>
        <v>V</v>
      </c>
      <c r="K41" s="276">
        <f>IF($C$70&gt;3,"V",0)</f>
        <v>0</v>
      </c>
      <c r="L41" s="276">
        <f>IF($C$70&gt;3,"V",0)</f>
        <v>0</v>
      </c>
      <c r="M41" s="276">
        <v>0</v>
      </c>
      <c r="N41" s="276">
        <v>0</v>
      </c>
      <c r="O41" s="276">
        <v>0</v>
      </c>
      <c r="P41" s="276">
        <v>0</v>
      </c>
      <c r="Q41" s="276">
        <f t="shared" si="4"/>
        <v>0</v>
      </c>
    </row>
    <row r="42" spans="1:17" s="32" customFormat="1" ht="19.5" customHeight="1">
      <c r="A42" s="242"/>
      <c r="B42" s="387"/>
      <c r="C42" s="387"/>
      <c r="D42" s="234" t="s">
        <v>830</v>
      </c>
      <c r="E42" s="272"/>
      <c r="F42" s="263"/>
      <c r="G42" s="263"/>
      <c r="H42" s="263"/>
      <c r="I42" s="272"/>
      <c r="J42" s="272"/>
      <c r="K42" s="272"/>
      <c r="L42" s="272"/>
      <c r="M42" s="272"/>
      <c r="N42" s="267"/>
      <c r="O42" s="267"/>
      <c r="P42" s="267"/>
      <c r="Q42" s="276">
        <f t="shared" si="4"/>
        <v>0</v>
      </c>
    </row>
    <row r="43" spans="1:17" s="32" customFormat="1" ht="20.25" customHeight="1">
      <c r="A43" s="179">
        <v>26</v>
      </c>
      <c r="B43" s="387"/>
      <c r="C43" s="388"/>
      <c r="D43" s="234" t="s">
        <v>1162</v>
      </c>
      <c r="E43" s="276">
        <f>IF(E41="V",5,0)</f>
        <v>5</v>
      </c>
      <c r="F43" s="276">
        <f t="shared" ref="F43:P43" si="28">IF(F41="V",5,0)</f>
        <v>5</v>
      </c>
      <c r="G43" s="276">
        <f t="shared" si="28"/>
        <v>5</v>
      </c>
      <c r="H43" s="276">
        <f t="shared" si="28"/>
        <v>5</v>
      </c>
      <c r="I43" s="276">
        <f t="shared" si="28"/>
        <v>5</v>
      </c>
      <c r="J43" s="276">
        <f t="shared" si="28"/>
        <v>5</v>
      </c>
      <c r="K43" s="276">
        <f t="shared" si="28"/>
        <v>0</v>
      </c>
      <c r="L43" s="276">
        <f t="shared" si="28"/>
        <v>0</v>
      </c>
      <c r="M43" s="276">
        <f t="shared" si="28"/>
        <v>0</v>
      </c>
      <c r="N43" s="276">
        <f t="shared" si="28"/>
        <v>0</v>
      </c>
      <c r="O43" s="276">
        <f t="shared" si="28"/>
        <v>0</v>
      </c>
      <c r="P43" s="276">
        <f t="shared" si="28"/>
        <v>0</v>
      </c>
      <c r="Q43" s="276">
        <f t="shared" si="4"/>
        <v>30</v>
      </c>
    </row>
    <row r="44" spans="1:17" s="32" customFormat="1" ht="19.5" customHeight="1">
      <c r="A44" s="179">
        <v>27</v>
      </c>
      <c r="B44" s="387"/>
      <c r="C44" s="335" t="s">
        <v>853</v>
      </c>
      <c r="D44" s="175" t="s">
        <v>829</v>
      </c>
      <c r="E44" s="272" t="str">
        <f>IF($C$70&lt;6,"V",0)</f>
        <v>V</v>
      </c>
      <c r="F44" s="272" t="str">
        <f t="shared" ref="F44:J44" si="29">IF($C$70&lt;6,"V",0)</f>
        <v>V</v>
      </c>
      <c r="G44" s="272" t="str">
        <f t="shared" si="29"/>
        <v>V</v>
      </c>
      <c r="H44" s="272" t="str">
        <f t="shared" si="29"/>
        <v>V</v>
      </c>
      <c r="I44" s="272" t="str">
        <f t="shared" si="29"/>
        <v>V</v>
      </c>
      <c r="J44" s="272" t="str">
        <f t="shared" si="29"/>
        <v>V</v>
      </c>
      <c r="K44" s="276">
        <f>IF($C$70&gt;3,"V",0)</f>
        <v>0</v>
      </c>
      <c r="L44" s="276">
        <f>IF($C$70&gt;3,"V",0)</f>
        <v>0</v>
      </c>
      <c r="M44" s="276">
        <v>0</v>
      </c>
      <c r="N44" s="276">
        <v>0</v>
      </c>
      <c r="O44" s="276">
        <v>0</v>
      </c>
      <c r="P44" s="276">
        <v>0</v>
      </c>
      <c r="Q44" s="276">
        <f t="shared" si="4"/>
        <v>0</v>
      </c>
    </row>
    <row r="45" spans="1:17" s="32" customFormat="1" ht="19.5" customHeight="1">
      <c r="A45" s="242"/>
      <c r="B45" s="387"/>
      <c r="C45" s="387"/>
      <c r="D45" s="234" t="s">
        <v>830</v>
      </c>
      <c r="E45" s="272"/>
      <c r="F45" s="263"/>
      <c r="G45" s="263"/>
      <c r="H45" s="263"/>
      <c r="I45" s="272"/>
      <c r="J45" s="272"/>
      <c r="K45" s="272"/>
      <c r="L45" s="272"/>
      <c r="M45" s="272"/>
      <c r="N45" s="267"/>
      <c r="O45" s="267"/>
      <c r="P45" s="267"/>
      <c r="Q45" s="276">
        <f t="shared" si="4"/>
        <v>0</v>
      </c>
    </row>
    <row r="46" spans="1:17" s="32" customFormat="1" ht="19.5" customHeight="1">
      <c r="A46" s="179">
        <v>28</v>
      </c>
      <c r="B46" s="387"/>
      <c r="C46" s="388"/>
      <c r="D46" s="234" t="s">
        <v>1162</v>
      </c>
      <c r="E46" s="276">
        <f>IF(E44="V",5,0)</f>
        <v>5</v>
      </c>
      <c r="F46" s="276">
        <f t="shared" ref="F46:P46" si="30">IF(F44="V",5,0)</f>
        <v>5</v>
      </c>
      <c r="G46" s="276">
        <f t="shared" si="30"/>
        <v>5</v>
      </c>
      <c r="H46" s="276">
        <f t="shared" si="30"/>
        <v>5</v>
      </c>
      <c r="I46" s="276">
        <f t="shared" si="30"/>
        <v>5</v>
      </c>
      <c r="J46" s="276">
        <f t="shared" si="30"/>
        <v>5</v>
      </c>
      <c r="K46" s="276">
        <f t="shared" si="30"/>
        <v>0</v>
      </c>
      <c r="L46" s="276">
        <f t="shared" si="30"/>
        <v>0</v>
      </c>
      <c r="M46" s="276">
        <f t="shared" si="30"/>
        <v>0</v>
      </c>
      <c r="N46" s="276">
        <f t="shared" si="30"/>
        <v>0</v>
      </c>
      <c r="O46" s="276">
        <f t="shared" si="30"/>
        <v>0</v>
      </c>
      <c r="P46" s="276">
        <f t="shared" si="30"/>
        <v>0</v>
      </c>
      <c r="Q46" s="276">
        <f t="shared" si="4"/>
        <v>30</v>
      </c>
    </row>
    <row r="47" spans="1:17" s="32" customFormat="1" ht="19.5" customHeight="1">
      <c r="A47" s="179">
        <v>29</v>
      </c>
      <c r="B47" s="387"/>
      <c r="C47" s="335" t="s">
        <v>854</v>
      </c>
      <c r="D47" s="175" t="s">
        <v>829</v>
      </c>
      <c r="E47" s="272" t="str">
        <f>IF($C$70&lt;6,"V",0)</f>
        <v>V</v>
      </c>
      <c r="F47" s="272" t="str">
        <f t="shared" ref="F47:J47" si="31">IF($C$70&lt;6,"V",0)</f>
        <v>V</v>
      </c>
      <c r="G47" s="272" t="str">
        <f t="shared" si="31"/>
        <v>V</v>
      </c>
      <c r="H47" s="272" t="str">
        <f t="shared" si="31"/>
        <v>V</v>
      </c>
      <c r="I47" s="272" t="str">
        <f t="shared" si="31"/>
        <v>V</v>
      </c>
      <c r="J47" s="272" t="str">
        <f t="shared" si="31"/>
        <v>V</v>
      </c>
      <c r="K47" s="276">
        <f>IF($C$70&gt;3,"V",0)</f>
        <v>0</v>
      </c>
      <c r="L47" s="276">
        <f>IF($C$70&gt;3,"V",0)</f>
        <v>0</v>
      </c>
      <c r="M47" s="276">
        <v>0</v>
      </c>
      <c r="N47" s="276">
        <v>0</v>
      </c>
      <c r="O47" s="276">
        <v>0</v>
      </c>
      <c r="P47" s="276">
        <v>0</v>
      </c>
      <c r="Q47" s="276">
        <f t="shared" si="4"/>
        <v>0</v>
      </c>
    </row>
    <row r="48" spans="1:17" s="32" customFormat="1" ht="19.5" customHeight="1">
      <c r="A48" s="242"/>
      <c r="B48" s="387"/>
      <c r="C48" s="387"/>
      <c r="D48" s="234" t="s">
        <v>830</v>
      </c>
      <c r="E48" s="272"/>
      <c r="F48" s="263"/>
      <c r="G48" s="263"/>
      <c r="H48" s="263"/>
      <c r="I48" s="272"/>
      <c r="J48" s="272"/>
      <c r="K48" s="272"/>
      <c r="L48" s="272"/>
      <c r="M48" s="272"/>
      <c r="N48" s="267"/>
      <c r="O48" s="267"/>
      <c r="P48" s="267"/>
      <c r="Q48" s="276">
        <f t="shared" si="4"/>
        <v>0</v>
      </c>
    </row>
    <row r="49" spans="1:17" s="32" customFormat="1" ht="19.5" customHeight="1">
      <c r="A49" s="179">
        <v>30</v>
      </c>
      <c r="B49" s="387"/>
      <c r="C49" s="388"/>
      <c r="D49" s="234" t="s">
        <v>1162</v>
      </c>
      <c r="E49" s="276">
        <f>IF(E47="V",5,0)</f>
        <v>5</v>
      </c>
      <c r="F49" s="276">
        <f t="shared" ref="F49:P49" si="32">IF(F47="V",5,0)</f>
        <v>5</v>
      </c>
      <c r="G49" s="276">
        <f t="shared" si="32"/>
        <v>5</v>
      </c>
      <c r="H49" s="276">
        <f t="shared" si="32"/>
        <v>5</v>
      </c>
      <c r="I49" s="276">
        <f t="shared" si="32"/>
        <v>5</v>
      </c>
      <c r="J49" s="276">
        <f t="shared" si="32"/>
        <v>5</v>
      </c>
      <c r="K49" s="276">
        <f t="shared" si="32"/>
        <v>0</v>
      </c>
      <c r="L49" s="276">
        <f t="shared" si="32"/>
        <v>0</v>
      </c>
      <c r="M49" s="276">
        <f t="shared" si="32"/>
        <v>0</v>
      </c>
      <c r="N49" s="276">
        <f t="shared" si="32"/>
        <v>0</v>
      </c>
      <c r="O49" s="276">
        <f t="shared" si="32"/>
        <v>0</v>
      </c>
      <c r="P49" s="276">
        <f t="shared" si="32"/>
        <v>0</v>
      </c>
      <c r="Q49" s="276">
        <f t="shared" si="4"/>
        <v>30</v>
      </c>
    </row>
    <row r="50" spans="1:17" s="32" customFormat="1" ht="19.5" customHeight="1">
      <c r="A50" s="179">
        <v>31</v>
      </c>
      <c r="B50" s="387"/>
      <c r="C50" s="335" t="s">
        <v>862</v>
      </c>
      <c r="D50" s="175" t="s">
        <v>829</v>
      </c>
      <c r="E50" s="272" t="str">
        <f>IF($C$70&lt;6,"V",0)</f>
        <v>V</v>
      </c>
      <c r="F50" s="272" t="str">
        <f t="shared" ref="F50:J50" si="33">IF($C$70&lt;6,"V",0)</f>
        <v>V</v>
      </c>
      <c r="G50" s="272" t="str">
        <f t="shared" si="33"/>
        <v>V</v>
      </c>
      <c r="H50" s="272" t="str">
        <f t="shared" si="33"/>
        <v>V</v>
      </c>
      <c r="I50" s="272" t="str">
        <f t="shared" si="33"/>
        <v>V</v>
      </c>
      <c r="J50" s="272" t="str">
        <f t="shared" si="33"/>
        <v>V</v>
      </c>
      <c r="K50" s="276">
        <f>IF($C$70&gt;3,"V",0)</f>
        <v>0</v>
      </c>
      <c r="L50" s="276">
        <f>IF($C$70&gt;3,"V",0)</f>
        <v>0</v>
      </c>
      <c r="M50" s="276">
        <v>0</v>
      </c>
      <c r="N50" s="276">
        <v>0</v>
      </c>
      <c r="O50" s="276">
        <v>0</v>
      </c>
      <c r="P50" s="276">
        <v>0</v>
      </c>
      <c r="Q50" s="276">
        <f t="shared" si="4"/>
        <v>0</v>
      </c>
    </row>
    <row r="51" spans="1:17" s="32" customFormat="1" ht="19.5" customHeight="1">
      <c r="A51" s="242"/>
      <c r="B51" s="387"/>
      <c r="C51" s="387"/>
      <c r="D51" s="234" t="s">
        <v>830</v>
      </c>
      <c r="E51" s="272"/>
      <c r="F51" s="272"/>
      <c r="G51" s="272"/>
      <c r="H51" s="272"/>
      <c r="I51" s="272"/>
      <c r="J51" s="272"/>
      <c r="K51" s="272"/>
      <c r="L51" s="272"/>
      <c r="M51" s="272"/>
      <c r="N51" s="267"/>
      <c r="O51" s="267"/>
      <c r="P51" s="267"/>
      <c r="Q51" s="276">
        <f t="shared" si="4"/>
        <v>0</v>
      </c>
    </row>
    <row r="52" spans="1:17" s="32" customFormat="1" ht="19.5" customHeight="1">
      <c r="A52" s="179">
        <v>32</v>
      </c>
      <c r="B52" s="388"/>
      <c r="C52" s="388"/>
      <c r="D52" s="234" t="s">
        <v>1162</v>
      </c>
      <c r="E52" s="276">
        <f>IF(E50="V",5,0)</f>
        <v>5</v>
      </c>
      <c r="F52" s="276">
        <f t="shared" ref="F52:P52" si="34">IF(F50="V",5,0)</f>
        <v>5</v>
      </c>
      <c r="G52" s="276">
        <f t="shared" si="34"/>
        <v>5</v>
      </c>
      <c r="H52" s="276">
        <f t="shared" si="34"/>
        <v>5</v>
      </c>
      <c r="I52" s="276">
        <f t="shared" si="34"/>
        <v>5</v>
      </c>
      <c r="J52" s="276">
        <f t="shared" si="34"/>
        <v>5</v>
      </c>
      <c r="K52" s="276">
        <f t="shared" si="34"/>
        <v>0</v>
      </c>
      <c r="L52" s="276">
        <f t="shared" si="34"/>
        <v>0</v>
      </c>
      <c r="M52" s="276">
        <f t="shared" si="34"/>
        <v>0</v>
      </c>
      <c r="N52" s="276">
        <f t="shared" si="34"/>
        <v>0</v>
      </c>
      <c r="O52" s="276">
        <f t="shared" si="34"/>
        <v>0</v>
      </c>
      <c r="P52" s="276">
        <f t="shared" si="34"/>
        <v>0</v>
      </c>
      <c r="Q52" s="276">
        <f t="shared" si="4"/>
        <v>30</v>
      </c>
    </row>
    <row r="53" spans="1:17" s="32" customFormat="1" ht="19.5" customHeight="1">
      <c r="A53" s="179">
        <v>33</v>
      </c>
      <c r="B53" s="335" t="s">
        <v>858</v>
      </c>
      <c r="C53" s="335" t="s">
        <v>855</v>
      </c>
      <c r="D53" s="175" t="s">
        <v>829</v>
      </c>
      <c r="E53" s="276">
        <v>0</v>
      </c>
      <c r="F53" s="276">
        <v>0</v>
      </c>
      <c r="G53" s="276">
        <v>0</v>
      </c>
      <c r="H53" s="276">
        <v>0</v>
      </c>
      <c r="I53" s="276">
        <v>0</v>
      </c>
      <c r="J53" s="276">
        <f>IF($C$70&gt;3,"V",0)</f>
        <v>0</v>
      </c>
      <c r="K53" s="272" t="str">
        <f t="shared" ref="K53" si="35">IF($C$70&lt;6,"V",0)</f>
        <v>V</v>
      </c>
      <c r="L53" s="276">
        <v>0</v>
      </c>
      <c r="M53" s="276">
        <v>0</v>
      </c>
      <c r="N53" s="276">
        <v>0</v>
      </c>
      <c r="O53" s="276">
        <v>0</v>
      </c>
      <c r="P53" s="276">
        <v>0</v>
      </c>
      <c r="Q53" s="276">
        <f t="shared" si="4"/>
        <v>0</v>
      </c>
    </row>
    <row r="54" spans="1:17" s="32" customFormat="1" ht="19.5" customHeight="1">
      <c r="A54" s="242"/>
      <c r="B54" s="387"/>
      <c r="C54" s="387"/>
      <c r="D54" s="234" t="s">
        <v>830</v>
      </c>
      <c r="E54" s="272"/>
      <c r="F54" s="272"/>
      <c r="G54" s="272"/>
      <c r="H54" s="272"/>
      <c r="I54" s="272"/>
      <c r="J54" s="272"/>
      <c r="K54" s="272"/>
      <c r="L54" s="272"/>
      <c r="M54" s="272"/>
      <c r="N54" s="267"/>
      <c r="O54" s="267"/>
      <c r="P54" s="267"/>
      <c r="Q54" s="276">
        <f t="shared" si="4"/>
        <v>0</v>
      </c>
    </row>
    <row r="55" spans="1:17" s="32" customFormat="1" ht="19.5" customHeight="1">
      <c r="A55" s="179">
        <v>34</v>
      </c>
      <c r="B55" s="387"/>
      <c r="C55" s="388"/>
      <c r="D55" s="234" t="s">
        <v>1162</v>
      </c>
      <c r="E55" s="276">
        <f>IF(E53="V",5,0)</f>
        <v>0</v>
      </c>
      <c r="F55" s="276">
        <f t="shared" ref="F55:P55" si="36">IF(F53="V",5,0)</f>
        <v>0</v>
      </c>
      <c r="G55" s="276">
        <f t="shared" si="36"/>
        <v>0</v>
      </c>
      <c r="H55" s="276">
        <f t="shared" si="36"/>
        <v>0</v>
      </c>
      <c r="I55" s="276">
        <f t="shared" si="36"/>
        <v>0</v>
      </c>
      <c r="J55" s="276">
        <f t="shared" si="36"/>
        <v>0</v>
      </c>
      <c r="K55" s="276">
        <f t="shared" si="36"/>
        <v>5</v>
      </c>
      <c r="L55" s="276">
        <f t="shared" si="36"/>
        <v>0</v>
      </c>
      <c r="M55" s="276">
        <f t="shared" si="36"/>
        <v>0</v>
      </c>
      <c r="N55" s="276">
        <f t="shared" si="36"/>
        <v>0</v>
      </c>
      <c r="O55" s="276">
        <f t="shared" si="36"/>
        <v>0</v>
      </c>
      <c r="P55" s="276">
        <f t="shared" si="36"/>
        <v>0</v>
      </c>
      <c r="Q55" s="276">
        <f t="shared" si="4"/>
        <v>5</v>
      </c>
    </row>
    <row r="56" spans="1:17" s="32" customFormat="1" ht="19.5" customHeight="1">
      <c r="A56" s="179">
        <v>35</v>
      </c>
      <c r="B56" s="387"/>
      <c r="C56" s="335" t="s">
        <v>856</v>
      </c>
      <c r="D56" s="175" t="s">
        <v>829</v>
      </c>
      <c r="E56" s="276">
        <v>0</v>
      </c>
      <c r="F56" s="276">
        <v>0</v>
      </c>
      <c r="G56" s="276">
        <v>0</v>
      </c>
      <c r="H56" s="276">
        <v>0</v>
      </c>
      <c r="I56" s="276">
        <v>0</v>
      </c>
      <c r="J56" s="276">
        <v>0</v>
      </c>
      <c r="K56" s="276">
        <v>0</v>
      </c>
      <c r="L56" s="272" t="str">
        <f t="shared" ref="L56" si="37">IF($C$70&lt;6,"V",0)</f>
        <v>V</v>
      </c>
      <c r="M56" s="276">
        <v>0</v>
      </c>
      <c r="N56" s="276">
        <v>0</v>
      </c>
      <c r="O56" s="276">
        <v>0</v>
      </c>
      <c r="P56" s="276">
        <v>0</v>
      </c>
      <c r="Q56" s="276">
        <f t="shared" si="4"/>
        <v>0</v>
      </c>
    </row>
    <row r="57" spans="1:17" s="32" customFormat="1" ht="19.5" customHeight="1">
      <c r="A57" s="242"/>
      <c r="B57" s="387"/>
      <c r="C57" s="387"/>
      <c r="D57" s="234" t="s">
        <v>830</v>
      </c>
      <c r="E57" s="272"/>
      <c r="F57" s="272"/>
      <c r="G57" s="272"/>
      <c r="H57" s="272"/>
      <c r="I57" s="272"/>
      <c r="J57" s="272"/>
      <c r="K57" s="272"/>
      <c r="L57" s="272"/>
      <c r="M57" s="272"/>
      <c r="N57" s="267"/>
      <c r="O57" s="267"/>
      <c r="P57" s="267"/>
      <c r="Q57" s="276">
        <f t="shared" si="4"/>
        <v>0</v>
      </c>
    </row>
    <row r="58" spans="1:17" s="32" customFormat="1" ht="20.25" customHeight="1">
      <c r="A58" s="179">
        <v>36</v>
      </c>
      <c r="B58" s="387"/>
      <c r="C58" s="388"/>
      <c r="D58" s="234" t="s">
        <v>1162</v>
      </c>
      <c r="E58" s="276">
        <f>IF(E56="V",5,0)</f>
        <v>0</v>
      </c>
      <c r="F58" s="276">
        <f t="shared" ref="F58:P58" si="38">IF(F56="V",5,0)</f>
        <v>0</v>
      </c>
      <c r="G58" s="276">
        <f t="shared" si="38"/>
        <v>0</v>
      </c>
      <c r="H58" s="276">
        <f t="shared" si="38"/>
        <v>0</v>
      </c>
      <c r="I58" s="276">
        <f t="shared" si="38"/>
        <v>0</v>
      </c>
      <c r="J58" s="276">
        <f t="shared" si="38"/>
        <v>0</v>
      </c>
      <c r="K58" s="276">
        <f t="shared" si="38"/>
        <v>0</v>
      </c>
      <c r="L58" s="276">
        <f t="shared" si="38"/>
        <v>5</v>
      </c>
      <c r="M58" s="276">
        <f t="shared" si="38"/>
        <v>0</v>
      </c>
      <c r="N58" s="276">
        <f t="shared" si="38"/>
        <v>0</v>
      </c>
      <c r="O58" s="276">
        <f t="shared" si="38"/>
        <v>0</v>
      </c>
      <c r="P58" s="276">
        <f t="shared" si="38"/>
        <v>0</v>
      </c>
      <c r="Q58" s="276">
        <f t="shared" si="4"/>
        <v>5</v>
      </c>
    </row>
    <row r="59" spans="1:17" s="32" customFormat="1" ht="19.5" customHeight="1">
      <c r="A59" s="179">
        <v>37</v>
      </c>
      <c r="B59" s="387"/>
      <c r="C59" s="335" t="s">
        <v>857</v>
      </c>
      <c r="D59" s="175" t="s">
        <v>829</v>
      </c>
      <c r="E59" s="276">
        <f t="shared" ref="E59:J59" si="39">IF(E57="V",40,0)</f>
        <v>0</v>
      </c>
      <c r="F59" s="276">
        <f t="shared" si="39"/>
        <v>0</v>
      </c>
      <c r="G59" s="276">
        <f t="shared" si="39"/>
        <v>0</v>
      </c>
      <c r="H59" s="276">
        <f t="shared" si="39"/>
        <v>0</v>
      </c>
      <c r="I59" s="276">
        <f t="shared" si="39"/>
        <v>0</v>
      </c>
      <c r="J59" s="276">
        <f t="shared" si="39"/>
        <v>0</v>
      </c>
      <c r="K59" s="276">
        <f>IF($C$70&gt;3,"V",0)</f>
        <v>0</v>
      </c>
      <c r="L59" s="276">
        <f>IF($C$70&gt;3,"V",0)</f>
        <v>0</v>
      </c>
      <c r="M59" s="272" t="str">
        <f t="shared" ref="M59:P59" si="40">IF($C$70&lt;6,"V",0)</f>
        <v>V</v>
      </c>
      <c r="N59" s="272" t="str">
        <f t="shared" si="40"/>
        <v>V</v>
      </c>
      <c r="O59" s="272" t="str">
        <f t="shared" si="40"/>
        <v>V</v>
      </c>
      <c r="P59" s="272" t="str">
        <f t="shared" si="40"/>
        <v>V</v>
      </c>
      <c r="Q59" s="276">
        <f t="shared" si="4"/>
        <v>0</v>
      </c>
    </row>
    <row r="60" spans="1:17" s="32" customFormat="1" ht="19.5" customHeight="1">
      <c r="A60" s="242"/>
      <c r="B60" s="387"/>
      <c r="C60" s="387"/>
      <c r="D60" s="234" t="s">
        <v>830</v>
      </c>
      <c r="E60" s="272"/>
      <c r="F60" s="272"/>
      <c r="G60" s="272"/>
      <c r="H60" s="272"/>
      <c r="I60" s="272"/>
      <c r="J60" s="272"/>
      <c r="K60" s="272"/>
      <c r="L60" s="272"/>
      <c r="M60" s="272"/>
      <c r="N60" s="267"/>
      <c r="O60" s="267"/>
      <c r="P60" s="267"/>
      <c r="Q60" s="276">
        <f t="shared" si="4"/>
        <v>0</v>
      </c>
    </row>
    <row r="61" spans="1:17" s="32" customFormat="1" ht="20.25" customHeight="1">
      <c r="A61" s="179">
        <v>38</v>
      </c>
      <c r="B61" s="388"/>
      <c r="C61" s="388"/>
      <c r="D61" s="234" t="s">
        <v>1162</v>
      </c>
      <c r="E61" s="276">
        <f>IF(E59="V",5,0)</f>
        <v>0</v>
      </c>
      <c r="F61" s="276">
        <f t="shared" ref="F61:P61" si="41">IF(F59="V",5,0)</f>
        <v>0</v>
      </c>
      <c r="G61" s="276">
        <f t="shared" si="41"/>
        <v>0</v>
      </c>
      <c r="H61" s="276">
        <f t="shared" si="41"/>
        <v>0</v>
      </c>
      <c r="I61" s="276">
        <f t="shared" si="41"/>
        <v>0</v>
      </c>
      <c r="J61" s="276">
        <f t="shared" si="41"/>
        <v>0</v>
      </c>
      <c r="K61" s="276">
        <f t="shared" si="41"/>
        <v>0</v>
      </c>
      <c r="L61" s="276">
        <f t="shared" si="41"/>
        <v>0</v>
      </c>
      <c r="M61" s="276">
        <f t="shared" si="41"/>
        <v>5</v>
      </c>
      <c r="N61" s="276">
        <f t="shared" si="41"/>
        <v>5</v>
      </c>
      <c r="O61" s="276">
        <f t="shared" si="41"/>
        <v>5</v>
      </c>
      <c r="P61" s="276">
        <f t="shared" si="41"/>
        <v>5</v>
      </c>
      <c r="Q61" s="276">
        <f t="shared" si="4"/>
        <v>20</v>
      </c>
    </row>
    <row r="65" spans="2:3" ht="19.8">
      <c r="B65" s="105" t="s">
        <v>1149</v>
      </c>
      <c r="C65" s="266">
        <f>IF($B$3=B65,1,0)</f>
        <v>0</v>
      </c>
    </row>
    <row r="66" spans="2:3" ht="19.8">
      <c r="B66" s="105" t="s">
        <v>1225</v>
      </c>
      <c r="C66" s="266">
        <f>IF($B$3=B66,2,0)</f>
        <v>2</v>
      </c>
    </row>
    <row r="67" spans="2:3" ht="19.8">
      <c r="B67" s="105" t="s">
        <v>805</v>
      </c>
      <c r="C67" s="266">
        <f>IF($B$3=B67,3,0)</f>
        <v>0</v>
      </c>
    </row>
    <row r="68" spans="2:3" ht="19.8">
      <c r="B68" s="105" t="s">
        <v>1151</v>
      </c>
      <c r="C68" s="266">
        <f>IF($B$3=B68,4,0)</f>
        <v>0</v>
      </c>
    </row>
    <row r="69" spans="2:3" ht="19.8">
      <c r="B69" s="105" t="s">
        <v>1152</v>
      </c>
      <c r="C69" s="266">
        <f>IF($B$3=B69,5,0)</f>
        <v>0</v>
      </c>
    </row>
    <row r="70" spans="2:3" ht="19.8">
      <c r="B70" s="275" t="s">
        <v>1229</v>
      </c>
      <c r="C70" s="266">
        <f>MAX(C65:C69)</f>
        <v>2</v>
      </c>
    </row>
  </sheetData>
  <mergeCells count="24">
    <mergeCell ref="C53:C55"/>
    <mergeCell ref="C56:C58"/>
    <mergeCell ref="C59:C61"/>
    <mergeCell ref="B53:B61"/>
    <mergeCell ref="B26:B52"/>
    <mergeCell ref="C50:C52"/>
    <mergeCell ref="C32:C34"/>
    <mergeCell ref="C35:C37"/>
    <mergeCell ref="C38:C40"/>
    <mergeCell ref="C41:C43"/>
    <mergeCell ref="C44:C46"/>
    <mergeCell ref="C47:C49"/>
    <mergeCell ref="C29:C31"/>
    <mergeCell ref="C26:C28"/>
    <mergeCell ref="A1:B1"/>
    <mergeCell ref="C17:C19"/>
    <mergeCell ref="B8:B25"/>
    <mergeCell ref="C20:C22"/>
    <mergeCell ref="C23:C25"/>
    <mergeCell ref="C8:C10"/>
    <mergeCell ref="C11:C13"/>
    <mergeCell ref="C14:C16"/>
    <mergeCell ref="C5:C7"/>
    <mergeCell ref="B5:B7"/>
  </mergeCells>
  <phoneticPr fontId="1" type="noConversion"/>
  <conditionalFormatting sqref="E6:M6">
    <cfRule type="dataBar" priority="109">
      <dataBar>
        <cfvo type="min"/>
        <cfvo type="max"/>
        <color rgb="FF638EC6"/>
      </dataBar>
      <extLst>
        <ext xmlns:x14="http://schemas.microsoft.com/office/spreadsheetml/2009/9/main" uri="{B025F937-C7B1-47D3-B67F-A62EFF666E3E}">
          <x14:id>{D8F4CA1D-D328-4DA8-9673-862BA861B5AE}</x14:id>
        </ext>
      </extLst>
    </cfRule>
  </conditionalFormatting>
  <conditionalFormatting sqref="E9 E12 E36 E39 E42 E45 E48 E54 E57 E60 E51:M51">
    <cfRule type="dataBar" priority="108">
      <dataBar>
        <cfvo type="min"/>
        <cfvo type="max"/>
        <color rgb="FF638EC6"/>
      </dataBar>
      <extLst>
        <ext xmlns:x14="http://schemas.microsoft.com/office/spreadsheetml/2009/9/main" uri="{B025F937-C7B1-47D3-B67F-A62EFF666E3E}">
          <x14:id>{E60B1B0E-7284-407B-AAA1-C4E27BF7FC8B}</x14:id>
        </ext>
      </extLst>
    </cfRule>
  </conditionalFormatting>
  <conditionalFormatting sqref="E18">
    <cfRule type="dataBar" priority="101">
      <dataBar>
        <cfvo type="min"/>
        <cfvo type="max"/>
        <color rgb="FF638EC6"/>
      </dataBar>
      <extLst>
        <ext xmlns:x14="http://schemas.microsoft.com/office/spreadsheetml/2009/9/main" uri="{B025F937-C7B1-47D3-B67F-A62EFF666E3E}">
          <x14:id>{D44F64A4-F67D-4697-A57B-43669ADD3C7A}</x14:id>
        </ext>
      </extLst>
    </cfRule>
  </conditionalFormatting>
  <conditionalFormatting sqref="E21">
    <cfRule type="dataBar" priority="100">
      <dataBar>
        <cfvo type="min"/>
        <cfvo type="max"/>
        <color rgb="FF638EC6"/>
      </dataBar>
      <extLst>
        <ext xmlns:x14="http://schemas.microsoft.com/office/spreadsheetml/2009/9/main" uri="{B025F937-C7B1-47D3-B67F-A62EFF666E3E}">
          <x14:id>{4D5AAF3D-5A1B-42CD-91B7-2DF54575A66E}</x14:id>
        </ext>
      </extLst>
    </cfRule>
  </conditionalFormatting>
  <conditionalFormatting sqref="E5">
    <cfRule type="dataBar" priority="87">
      <dataBar>
        <cfvo type="min"/>
        <cfvo type="max"/>
        <color rgb="FF638EC6"/>
      </dataBar>
      <extLst>
        <ext xmlns:x14="http://schemas.microsoft.com/office/spreadsheetml/2009/9/main" uri="{B025F937-C7B1-47D3-B67F-A62EFF666E3E}">
          <x14:id>{5429658E-AC25-4D1B-9764-A7F6C13833BA}</x14:id>
        </ext>
      </extLst>
    </cfRule>
  </conditionalFormatting>
  <conditionalFormatting sqref="F5">
    <cfRule type="dataBar" priority="85">
      <dataBar>
        <cfvo type="min"/>
        <cfvo type="max"/>
        <color rgb="FF638EC6"/>
      </dataBar>
      <extLst>
        <ext xmlns:x14="http://schemas.microsoft.com/office/spreadsheetml/2009/9/main" uri="{B025F937-C7B1-47D3-B67F-A62EFF666E3E}">
          <x14:id>{69925BE8-1991-45BA-8316-1B8E3035BE4E}</x14:id>
        </ext>
      </extLst>
    </cfRule>
  </conditionalFormatting>
  <conditionalFormatting sqref="E8">
    <cfRule type="dataBar" priority="84">
      <dataBar>
        <cfvo type="min"/>
        <cfvo type="max"/>
        <color rgb="FF638EC6"/>
      </dataBar>
      <extLst>
        <ext xmlns:x14="http://schemas.microsoft.com/office/spreadsheetml/2009/9/main" uri="{B025F937-C7B1-47D3-B67F-A62EFF666E3E}">
          <x14:id>{58885505-A175-42B6-901E-4011D0768669}</x14:id>
        </ext>
      </extLst>
    </cfRule>
  </conditionalFormatting>
  <conditionalFormatting sqref="F8:J8">
    <cfRule type="dataBar" priority="82">
      <dataBar>
        <cfvo type="min"/>
        <cfvo type="max"/>
        <color rgb="FF638EC6"/>
      </dataBar>
      <extLst>
        <ext xmlns:x14="http://schemas.microsoft.com/office/spreadsheetml/2009/9/main" uri="{B025F937-C7B1-47D3-B67F-A62EFF666E3E}">
          <x14:id>{34ECD8B3-F7DC-4362-B7A6-17D739B876AC}</x14:id>
        </ext>
      </extLst>
    </cfRule>
  </conditionalFormatting>
  <conditionalFormatting sqref="E11">
    <cfRule type="dataBar" priority="76">
      <dataBar>
        <cfvo type="min"/>
        <cfvo type="max"/>
        <color rgb="FF638EC6"/>
      </dataBar>
      <extLst>
        <ext xmlns:x14="http://schemas.microsoft.com/office/spreadsheetml/2009/9/main" uri="{B025F937-C7B1-47D3-B67F-A62EFF666E3E}">
          <x14:id>{8154657B-AEAF-44AE-AF27-91705E87E434}</x14:id>
        </ext>
      </extLst>
    </cfRule>
  </conditionalFormatting>
  <conditionalFormatting sqref="F11:J11">
    <cfRule type="dataBar" priority="75">
      <dataBar>
        <cfvo type="min"/>
        <cfvo type="max"/>
        <color rgb="FF638EC6"/>
      </dataBar>
      <extLst>
        <ext xmlns:x14="http://schemas.microsoft.com/office/spreadsheetml/2009/9/main" uri="{B025F937-C7B1-47D3-B67F-A62EFF666E3E}">
          <x14:id>{D8759218-3591-4AE9-A28F-47031F1180BD}</x14:id>
        </ext>
      </extLst>
    </cfRule>
  </conditionalFormatting>
  <conditionalFormatting sqref="E14">
    <cfRule type="dataBar" priority="72">
      <dataBar>
        <cfvo type="min"/>
        <cfvo type="max"/>
        <color rgb="FF638EC6"/>
      </dataBar>
      <extLst>
        <ext xmlns:x14="http://schemas.microsoft.com/office/spreadsheetml/2009/9/main" uri="{B025F937-C7B1-47D3-B67F-A62EFF666E3E}">
          <x14:id>{6E058771-85C3-4813-8263-D3F01675412B}</x14:id>
        </ext>
      </extLst>
    </cfRule>
  </conditionalFormatting>
  <conditionalFormatting sqref="F14:J14">
    <cfRule type="dataBar" priority="71">
      <dataBar>
        <cfvo type="min"/>
        <cfvo type="max"/>
        <color rgb="FF638EC6"/>
      </dataBar>
      <extLst>
        <ext xmlns:x14="http://schemas.microsoft.com/office/spreadsheetml/2009/9/main" uri="{B025F937-C7B1-47D3-B67F-A62EFF666E3E}">
          <x14:id>{702CE87D-CE0B-49DB-9A23-35B2EC1FE470}</x14:id>
        </ext>
      </extLst>
    </cfRule>
  </conditionalFormatting>
  <conditionalFormatting sqref="E17">
    <cfRule type="dataBar" priority="68">
      <dataBar>
        <cfvo type="min"/>
        <cfvo type="max"/>
        <color rgb="FF638EC6"/>
      </dataBar>
      <extLst>
        <ext xmlns:x14="http://schemas.microsoft.com/office/spreadsheetml/2009/9/main" uri="{B025F937-C7B1-47D3-B67F-A62EFF666E3E}">
          <x14:id>{307BAC02-E51A-44F2-A615-DE4FE16C3B43}</x14:id>
        </ext>
      </extLst>
    </cfRule>
  </conditionalFormatting>
  <conditionalFormatting sqref="F17:H17">
    <cfRule type="dataBar" priority="67">
      <dataBar>
        <cfvo type="min"/>
        <cfvo type="max"/>
        <color rgb="FF638EC6"/>
      </dataBar>
      <extLst>
        <ext xmlns:x14="http://schemas.microsoft.com/office/spreadsheetml/2009/9/main" uri="{B025F937-C7B1-47D3-B67F-A62EFF666E3E}">
          <x14:id>{1FCAB301-2C5A-4971-99FE-0B6061F7C50C}</x14:id>
        </ext>
      </extLst>
    </cfRule>
  </conditionalFormatting>
  <conditionalFormatting sqref="E20">
    <cfRule type="dataBar" priority="64">
      <dataBar>
        <cfvo type="min"/>
        <cfvo type="max"/>
        <color rgb="FF638EC6"/>
      </dataBar>
      <extLst>
        <ext xmlns:x14="http://schemas.microsoft.com/office/spreadsheetml/2009/9/main" uri="{B025F937-C7B1-47D3-B67F-A62EFF666E3E}">
          <x14:id>{386DCAD5-C97E-402C-B70A-9FA7784B121B}</x14:id>
        </ext>
      </extLst>
    </cfRule>
  </conditionalFormatting>
  <conditionalFormatting sqref="F20:J20">
    <cfRule type="dataBar" priority="63">
      <dataBar>
        <cfvo type="min"/>
        <cfvo type="max"/>
        <color rgb="FF638EC6"/>
      </dataBar>
      <extLst>
        <ext xmlns:x14="http://schemas.microsoft.com/office/spreadsheetml/2009/9/main" uri="{B025F937-C7B1-47D3-B67F-A62EFF666E3E}">
          <x14:id>{DB0E7BE6-C6A1-4615-B9F2-3F47B740BB96}</x14:id>
        </ext>
      </extLst>
    </cfRule>
  </conditionalFormatting>
  <conditionalFormatting sqref="E23">
    <cfRule type="dataBar" priority="60">
      <dataBar>
        <cfvo type="min"/>
        <cfvo type="max"/>
        <color rgb="FF638EC6"/>
      </dataBar>
      <extLst>
        <ext xmlns:x14="http://schemas.microsoft.com/office/spreadsheetml/2009/9/main" uri="{B025F937-C7B1-47D3-B67F-A62EFF666E3E}">
          <x14:id>{EBB789A7-D365-4A41-AEA5-31B5D064E6EC}</x14:id>
        </ext>
      </extLst>
    </cfRule>
  </conditionalFormatting>
  <conditionalFormatting sqref="F23:J23">
    <cfRule type="dataBar" priority="59">
      <dataBar>
        <cfvo type="min"/>
        <cfvo type="max"/>
        <color rgb="FF638EC6"/>
      </dataBar>
      <extLst>
        <ext xmlns:x14="http://schemas.microsoft.com/office/spreadsheetml/2009/9/main" uri="{B025F937-C7B1-47D3-B67F-A62EFF666E3E}">
          <x14:id>{D36B8AB4-F856-497A-A71D-985F47997572}</x14:id>
        </ext>
      </extLst>
    </cfRule>
  </conditionalFormatting>
  <conditionalFormatting sqref="E26">
    <cfRule type="dataBar" priority="55">
      <dataBar>
        <cfvo type="min"/>
        <cfvo type="max"/>
        <color rgb="FF638EC6"/>
      </dataBar>
      <extLst>
        <ext xmlns:x14="http://schemas.microsoft.com/office/spreadsheetml/2009/9/main" uri="{B025F937-C7B1-47D3-B67F-A62EFF666E3E}">
          <x14:id>{2EB14FD4-F197-42DF-9FED-E4705671D1AC}</x14:id>
        </ext>
      </extLst>
    </cfRule>
  </conditionalFormatting>
  <conditionalFormatting sqref="F26:J26">
    <cfRule type="dataBar" priority="54">
      <dataBar>
        <cfvo type="min"/>
        <cfvo type="max"/>
        <color rgb="FF638EC6"/>
      </dataBar>
      <extLst>
        <ext xmlns:x14="http://schemas.microsoft.com/office/spreadsheetml/2009/9/main" uri="{B025F937-C7B1-47D3-B67F-A62EFF666E3E}">
          <x14:id>{ACDE1574-E4E5-4CC2-9C33-04D34C9BD43E}</x14:id>
        </ext>
      </extLst>
    </cfRule>
  </conditionalFormatting>
  <conditionalFormatting sqref="E29">
    <cfRule type="dataBar" priority="51">
      <dataBar>
        <cfvo type="min"/>
        <cfvo type="max"/>
        <color rgb="FF638EC6"/>
      </dataBar>
      <extLst>
        <ext xmlns:x14="http://schemas.microsoft.com/office/spreadsheetml/2009/9/main" uri="{B025F937-C7B1-47D3-B67F-A62EFF666E3E}">
          <x14:id>{A34ECDCC-A9AD-4E85-901A-0D08897FC003}</x14:id>
        </ext>
      </extLst>
    </cfRule>
  </conditionalFormatting>
  <conditionalFormatting sqref="F29:J29">
    <cfRule type="dataBar" priority="50">
      <dataBar>
        <cfvo type="min"/>
        <cfvo type="max"/>
        <color rgb="FF638EC6"/>
      </dataBar>
      <extLst>
        <ext xmlns:x14="http://schemas.microsoft.com/office/spreadsheetml/2009/9/main" uri="{B025F937-C7B1-47D3-B67F-A62EFF666E3E}">
          <x14:id>{B12FBE69-E63D-44E8-A5E8-31410A0B2144}</x14:id>
        </ext>
      </extLst>
    </cfRule>
  </conditionalFormatting>
  <conditionalFormatting sqref="E32">
    <cfRule type="dataBar" priority="47">
      <dataBar>
        <cfvo type="min"/>
        <cfvo type="max"/>
        <color rgb="FF638EC6"/>
      </dataBar>
      <extLst>
        <ext xmlns:x14="http://schemas.microsoft.com/office/spreadsheetml/2009/9/main" uri="{B025F937-C7B1-47D3-B67F-A62EFF666E3E}">
          <x14:id>{9B21CA64-7552-4416-8E92-81C38DDD9AA9}</x14:id>
        </ext>
      </extLst>
    </cfRule>
  </conditionalFormatting>
  <conditionalFormatting sqref="E35">
    <cfRule type="dataBar" priority="43">
      <dataBar>
        <cfvo type="min"/>
        <cfvo type="max"/>
        <color rgb="FF638EC6"/>
      </dataBar>
      <extLst>
        <ext xmlns:x14="http://schemas.microsoft.com/office/spreadsheetml/2009/9/main" uri="{B025F937-C7B1-47D3-B67F-A62EFF666E3E}">
          <x14:id>{5E48E028-51CE-42DA-859C-8B00FA3A86C9}</x14:id>
        </ext>
      </extLst>
    </cfRule>
  </conditionalFormatting>
  <conditionalFormatting sqref="F35:J35">
    <cfRule type="dataBar" priority="42">
      <dataBar>
        <cfvo type="min"/>
        <cfvo type="max"/>
        <color rgb="FF638EC6"/>
      </dataBar>
      <extLst>
        <ext xmlns:x14="http://schemas.microsoft.com/office/spreadsheetml/2009/9/main" uri="{B025F937-C7B1-47D3-B67F-A62EFF666E3E}">
          <x14:id>{DA1FD200-6090-4DF7-934D-3581409A62B1}</x14:id>
        </ext>
      </extLst>
    </cfRule>
  </conditionalFormatting>
  <conditionalFormatting sqref="E38">
    <cfRule type="dataBar" priority="39">
      <dataBar>
        <cfvo type="min"/>
        <cfvo type="max"/>
        <color rgb="FF638EC6"/>
      </dataBar>
      <extLst>
        <ext xmlns:x14="http://schemas.microsoft.com/office/spreadsheetml/2009/9/main" uri="{B025F937-C7B1-47D3-B67F-A62EFF666E3E}">
          <x14:id>{B629F34D-D398-474E-A49E-9C161D66A133}</x14:id>
        </ext>
      </extLst>
    </cfRule>
  </conditionalFormatting>
  <conditionalFormatting sqref="F38:J38">
    <cfRule type="dataBar" priority="38">
      <dataBar>
        <cfvo type="min"/>
        <cfvo type="max"/>
        <color rgb="FF638EC6"/>
      </dataBar>
      <extLst>
        <ext xmlns:x14="http://schemas.microsoft.com/office/spreadsheetml/2009/9/main" uri="{B025F937-C7B1-47D3-B67F-A62EFF666E3E}">
          <x14:id>{D4501AE0-9921-42D8-9444-8CC713993E09}</x14:id>
        </ext>
      </extLst>
    </cfRule>
  </conditionalFormatting>
  <conditionalFormatting sqref="E41">
    <cfRule type="dataBar" priority="35">
      <dataBar>
        <cfvo type="min"/>
        <cfvo type="max"/>
        <color rgb="FF638EC6"/>
      </dataBar>
      <extLst>
        <ext xmlns:x14="http://schemas.microsoft.com/office/spreadsheetml/2009/9/main" uri="{B025F937-C7B1-47D3-B67F-A62EFF666E3E}">
          <x14:id>{83B0A178-090E-4B05-8625-D691725F9648}</x14:id>
        </ext>
      </extLst>
    </cfRule>
  </conditionalFormatting>
  <conditionalFormatting sqref="F41:J41">
    <cfRule type="dataBar" priority="34">
      <dataBar>
        <cfvo type="min"/>
        <cfvo type="max"/>
        <color rgb="FF638EC6"/>
      </dataBar>
      <extLst>
        <ext xmlns:x14="http://schemas.microsoft.com/office/spreadsheetml/2009/9/main" uri="{B025F937-C7B1-47D3-B67F-A62EFF666E3E}">
          <x14:id>{1725DFA8-049B-4313-966D-7676BFA75D9A}</x14:id>
        </ext>
      </extLst>
    </cfRule>
  </conditionalFormatting>
  <conditionalFormatting sqref="E44">
    <cfRule type="dataBar" priority="31">
      <dataBar>
        <cfvo type="min"/>
        <cfvo type="max"/>
        <color rgb="FF638EC6"/>
      </dataBar>
      <extLst>
        <ext xmlns:x14="http://schemas.microsoft.com/office/spreadsheetml/2009/9/main" uri="{B025F937-C7B1-47D3-B67F-A62EFF666E3E}">
          <x14:id>{4C1E9167-C454-4D30-A267-9169C510A811}</x14:id>
        </ext>
      </extLst>
    </cfRule>
  </conditionalFormatting>
  <conditionalFormatting sqref="F44:J44">
    <cfRule type="dataBar" priority="30">
      <dataBar>
        <cfvo type="min"/>
        <cfvo type="max"/>
        <color rgb="FF638EC6"/>
      </dataBar>
      <extLst>
        <ext xmlns:x14="http://schemas.microsoft.com/office/spreadsheetml/2009/9/main" uri="{B025F937-C7B1-47D3-B67F-A62EFF666E3E}">
          <x14:id>{E07B4FB1-6C45-4E3A-9FC3-9F550F58EC32}</x14:id>
        </ext>
      </extLst>
    </cfRule>
  </conditionalFormatting>
  <conditionalFormatting sqref="E47">
    <cfRule type="dataBar" priority="27">
      <dataBar>
        <cfvo type="min"/>
        <cfvo type="max"/>
        <color rgb="FF638EC6"/>
      </dataBar>
      <extLst>
        <ext xmlns:x14="http://schemas.microsoft.com/office/spreadsheetml/2009/9/main" uri="{B025F937-C7B1-47D3-B67F-A62EFF666E3E}">
          <x14:id>{5F5D0106-71BA-490C-BE73-4E69A1287BE4}</x14:id>
        </ext>
      </extLst>
    </cfRule>
  </conditionalFormatting>
  <conditionalFormatting sqref="F47:J47">
    <cfRule type="dataBar" priority="26">
      <dataBar>
        <cfvo type="min"/>
        <cfvo type="max"/>
        <color rgb="FF638EC6"/>
      </dataBar>
      <extLst>
        <ext xmlns:x14="http://schemas.microsoft.com/office/spreadsheetml/2009/9/main" uri="{B025F937-C7B1-47D3-B67F-A62EFF666E3E}">
          <x14:id>{D6D7EC8E-753F-4162-B2F6-F1D5247DB484}</x14:id>
        </ext>
      </extLst>
    </cfRule>
  </conditionalFormatting>
  <conditionalFormatting sqref="E50">
    <cfRule type="dataBar" priority="23">
      <dataBar>
        <cfvo type="min"/>
        <cfvo type="max"/>
        <color rgb="FF638EC6"/>
      </dataBar>
      <extLst>
        <ext xmlns:x14="http://schemas.microsoft.com/office/spreadsheetml/2009/9/main" uri="{B025F937-C7B1-47D3-B67F-A62EFF666E3E}">
          <x14:id>{5CF125BC-CE39-48F3-98E0-6FE3CD08FF18}</x14:id>
        </ext>
      </extLst>
    </cfRule>
  </conditionalFormatting>
  <conditionalFormatting sqref="F50:J50">
    <cfRule type="dataBar" priority="22">
      <dataBar>
        <cfvo type="min"/>
        <cfvo type="max"/>
        <color rgb="FF638EC6"/>
      </dataBar>
      <extLst>
        <ext xmlns:x14="http://schemas.microsoft.com/office/spreadsheetml/2009/9/main" uri="{B025F937-C7B1-47D3-B67F-A62EFF666E3E}">
          <x14:id>{3124A86B-BC8B-4C96-8274-103283C72285}</x14:id>
        </ext>
      </extLst>
    </cfRule>
  </conditionalFormatting>
  <conditionalFormatting sqref="F32:J32">
    <cfRule type="dataBar" priority="7">
      <dataBar>
        <cfvo type="min"/>
        <cfvo type="max"/>
        <color rgb="FF638EC6"/>
      </dataBar>
      <extLst>
        <ext xmlns:x14="http://schemas.microsoft.com/office/spreadsheetml/2009/9/main" uri="{B025F937-C7B1-47D3-B67F-A62EFF666E3E}">
          <x14:id>{FF3B834C-867F-40D7-82C0-DA01E164EC0B}</x14:id>
        </ext>
      </extLst>
    </cfRule>
  </conditionalFormatting>
  <conditionalFormatting sqref="M59:P59">
    <cfRule type="dataBar" priority="3">
      <dataBar>
        <cfvo type="min"/>
        <cfvo type="max"/>
        <color rgb="FF638EC6"/>
      </dataBar>
      <extLst>
        <ext xmlns:x14="http://schemas.microsoft.com/office/spreadsheetml/2009/9/main" uri="{B025F937-C7B1-47D3-B67F-A62EFF666E3E}">
          <x14:id>{9EAC6F47-7A91-4942-9457-731BA9027B59}</x14:id>
        </ext>
      </extLst>
    </cfRule>
  </conditionalFormatting>
  <conditionalFormatting sqref="L56">
    <cfRule type="dataBar" priority="2">
      <dataBar>
        <cfvo type="min"/>
        <cfvo type="max"/>
        <color rgb="FF638EC6"/>
      </dataBar>
      <extLst>
        <ext xmlns:x14="http://schemas.microsoft.com/office/spreadsheetml/2009/9/main" uri="{B025F937-C7B1-47D3-B67F-A62EFF666E3E}">
          <x14:id>{A748A9B5-985D-49CB-9258-DA4BE6ACECF4}</x14:id>
        </ext>
      </extLst>
    </cfRule>
  </conditionalFormatting>
  <conditionalFormatting sqref="K53">
    <cfRule type="dataBar" priority="1">
      <dataBar>
        <cfvo type="min"/>
        <cfvo type="max"/>
        <color rgb="FF638EC6"/>
      </dataBar>
      <extLst>
        <ext xmlns:x14="http://schemas.microsoft.com/office/spreadsheetml/2009/9/main" uri="{B025F937-C7B1-47D3-B67F-A62EFF666E3E}">
          <x14:id>{C93E9FC5-A711-4A85-8E94-5CB15E92A705}</x14:id>
        </ext>
      </extLst>
    </cfRule>
  </conditionalFormatting>
  <pageMargins left="0.7" right="0.7" top="0.75" bottom="0.75" header="0.3" footer="0.3"/>
  <pageSetup paperSize="9"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D8F4CA1D-D328-4DA8-9673-862BA861B5AE}">
            <x14:dataBar minLength="0" maxLength="100" border="1" negativeBarBorderColorSameAsPositive="0">
              <x14:cfvo type="autoMin"/>
              <x14:cfvo type="autoMax"/>
              <x14:borderColor rgb="FF638EC6"/>
              <x14:negativeFillColor rgb="FFFF0000"/>
              <x14:negativeBorderColor rgb="FFFF0000"/>
              <x14:axisColor rgb="FF000000"/>
            </x14:dataBar>
          </x14:cfRule>
          <xm:sqref>E6:M6</xm:sqref>
        </x14:conditionalFormatting>
        <x14:conditionalFormatting xmlns:xm="http://schemas.microsoft.com/office/excel/2006/main">
          <x14:cfRule type="dataBar" id="{E60B1B0E-7284-407B-AAA1-C4E27BF7FC8B}">
            <x14:dataBar minLength="0" maxLength="100" border="1" negativeBarBorderColorSameAsPositive="0">
              <x14:cfvo type="autoMin"/>
              <x14:cfvo type="autoMax"/>
              <x14:borderColor rgb="FF638EC6"/>
              <x14:negativeFillColor rgb="FFFF0000"/>
              <x14:negativeBorderColor rgb="FFFF0000"/>
              <x14:axisColor rgb="FF000000"/>
            </x14:dataBar>
          </x14:cfRule>
          <xm:sqref>E9 E12 E36 E39 E42 E45 E48 E54 E57 E60 E51:M51</xm:sqref>
        </x14:conditionalFormatting>
        <x14:conditionalFormatting xmlns:xm="http://schemas.microsoft.com/office/excel/2006/main">
          <x14:cfRule type="dataBar" id="{D44F64A4-F67D-4697-A57B-43669ADD3C7A}">
            <x14:dataBar minLength="0" maxLength="100" border="1" negativeBarBorderColorSameAsPositive="0">
              <x14:cfvo type="autoMin"/>
              <x14:cfvo type="autoMax"/>
              <x14:borderColor rgb="FF638EC6"/>
              <x14:negativeFillColor rgb="FFFF0000"/>
              <x14:negativeBorderColor rgb="FFFF0000"/>
              <x14:axisColor rgb="FF000000"/>
            </x14:dataBar>
          </x14:cfRule>
          <xm:sqref>E18</xm:sqref>
        </x14:conditionalFormatting>
        <x14:conditionalFormatting xmlns:xm="http://schemas.microsoft.com/office/excel/2006/main">
          <x14:cfRule type="dataBar" id="{4D5AAF3D-5A1B-42CD-91B7-2DF54575A66E}">
            <x14:dataBar minLength="0" maxLength="100" border="1" negativeBarBorderColorSameAsPositive="0">
              <x14:cfvo type="autoMin"/>
              <x14:cfvo type="autoMax"/>
              <x14:borderColor rgb="FF638EC6"/>
              <x14:negativeFillColor rgb="FFFF0000"/>
              <x14:negativeBorderColor rgb="FFFF0000"/>
              <x14:axisColor rgb="FF000000"/>
            </x14:dataBar>
          </x14:cfRule>
          <xm:sqref>E21</xm:sqref>
        </x14:conditionalFormatting>
        <x14:conditionalFormatting xmlns:xm="http://schemas.microsoft.com/office/excel/2006/main">
          <x14:cfRule type="dataBar" id="{5429658E-AC25-4D1B-9764-A7F6C13833BA}">
            <x14:dataBar minLength="0" maxLength="100" border="1" negativeBarBorderColorSameAsPositive="0">
              <x14:cfvo type="autoMin"/>
              <x14:cfvo type="autoMax"/>
              <x14:borderColor rgb="FF638EC6"/>
              <x14:negativeFillColor rgb="FFFF0000"/>
              <x14:negativeBorderColor rgb="FFFF0000"/>
              <x14:axisColor rgb="FF000000"/>
            </x14:dataBar>
          </x14:cfRule>
          <xm:sqref>E5</xm:sqref>
        </x14:conditionalFormatting>
        <x14:conditionalFormatting xmlns:xm="http://schemas.microsoft.com/office/excel/2006/main">
          <x14:cfRule type="dataBar" id="{69925BE8-1991-45BA-8316-1B8E3035BE4E}">
            <x14:dataBar minLength="0" maxLength="100" border="1" negativeBarBorderColorSameAsPositive="0">
              <x14:cfvo type="autoMin"/>
              <x14:cfvo type="autoMax"/>
              <x14:borderColor rgb="FF638EC6"/>
              <x14:negativeFillColor rgb="FFFF0000"/>
              <x14:negativeBorderColor rgb="FFFF0000"/>
              <x14:axisColor rgb="FF000000"/>
            </x14:dataBar>
          </x14:cfRule>
          <xm:sqref>F5</xm:sqref>
        </x14:conditionalFormatting>
        <x14:conditionalFormatting xmlns:xm="http://schemas.microsoft.com/office/excel/2006/main">
          <x14:cfRule type="dataBar" id="{58885505-A175-42B6-901E-4011D0768669}">
            <x14:dataBar minLength="0" maxLength="100" border="1" negativeBarBorderColorSameAsPositive="0">
              <x14:cfvo type="autoMin"/>
              <x14:cfvo type="autoMax"/>
              <x14:borderColor rgb="FF638EC6"/>
              <x14:negativeFillColor rgb="FFFF0000"/>
              <x14:negativeBorderColor rgb="FFFF0000"/>
              <x14:axisColor rgb="FF000000"/>
            </x14:dataBar>
          </x14:cfRule>
          <xm:sqref>E8</xm:sqref>
        </x14:conditionalFormatting>
        <x14:conditionalFormatting xmlns:xm="http://schemas.microsoft.com/office/excel/2006/main">
          <x14:cfRule type="dataBar" id="{34ECD8B3-F7DC-4362-B7A6-17D739B876AC}">
            <x14:dataBar minLength="0" maxLength="100" border="1" negativeBarBorderColorSameAsPositive="0">
              <x14:cfvo type="autoMin"/>
              <x14:cfvo type="autoMax"/>
              <x14:borderColor rgb="FF638EC6"/>
              <x14:negativeFillColor rgb="FFFF0000"/>
              <x14:negativeBorderColor rgb="FFFF0000"/>
              <x14:axisColor rgb="FF000000"/>
            </x14:dataBar>
          </x14:cfRule>
          <xm:sqref>F8:J8</xm:sqref>
        </x14:conditionalFormatting>
        <x14:conditionalFormatting xmlns:xm="http://schemas.microsoft.com/office/excel/2006/main">
          <x14:cfRule type="dataBar" id="{8154657B-AEAF-44AE-AF27-91705E87E434}">
            <x14:dataBar minLength="0" maxLength="100" border="1" negativeBarBorderColorSameAsPositive="0">
              <x14:cfvo type="autoMin"/>
              <x14:cfvo type="autoMax"/>
              <x14:borderColor rgb="FF638EC6"/>
              <x14:negativeFillColor rgb="FFFF0000"/>
              <x14:negativeBorderColor rgb="FFFF0000"/>
              <x14:axisColor rgb="FF000000"/>
            </x14:dataBar>
          </x14:cfRule>
          <xm:sqref>E11</xm:sqref>
        </x14:conditionalFormatting>
        <x14:conditionalFormatting xmlns:xm="http://schemas.microsoft.com/office/excel/2006/main">
          <x14:cfRule type="dataBar" id="{D8759218-3591-4AE9-A28F-47031F1180BD}">
            <x14:dataBar minLength="0" maxLength="100" border="1" negativeBarBorderColorSameAsPositive="0">
              <x14:cfvo type="autoMin"/>
              <x14:cfvo type="autoMax"/>
              <x14:borderColor rgb="FF638EC6"/>
              <x14:negativeFillColor rgb="FFFF0000"/>
              <x14:negativeBorderColor rgb="FFFF0000"/>
              <x14:axisColor rgb="FF000000"/>
            </x14:dataBar>
          </x14:cfRule>
          <xm:sqref>F11:J11</xm:sqref>
        </x14:conditionalFormatting>
        <x14:conditionalFormatting xmlns:xm="http://schemas.microsoft.com/office/excel/2006/main">
          <x14:cfRule type="dataBar" id="{6E058771-85C3-4813-8263-D3F01675412B}">
            <x14:dataBar minLength="0" maxLength="100" border="1" negativeBarBorderColorSameAsPositive="0">
              <x14:cfvo type="autoMin"/>
              <x14:cfvo type="autoMax"/>
              <x14:borderColor rgb="FF638EC6"/>
              <x14:negativeFillColor rgb="FFFF0000"/>
              <x14:negativeBorderColor rgb="FFFF0000"/>
              <x14:axisColor rgb="FF000000"/>
            </x14:dataBar>
          </x14:cfRule>
          <xm:sqref>E14</xm:sqref>
        </x14:conditionalFormatting>
        <x14:conditionalFormatting xmlns:xm="http://schemas.microsoft.com/office/excel/2006/main">
          <x14:cfRule type="dataBar" id="{702CE87D-CE0B-49DB-9A23-35B2EC1FE470}">
            <x14:dataBar minLength="0" maxLength="100" border="1" negativeBarBorderColorSameAsPositive="0">
              <x14:cfvo type="autoMin"/>
              <x14:cfvo type="autoMax"/>
              <x14:borderColor rgb="FF638EC6"/>
              <x14:negativeFillColor rgb="FFFF0000"/>
              <x14:negativeBorderColor rgb="FFFF0000"/>
              <x14:axisColor rgb="FF000000"/>
            </x14:dataBar>
          </x14:cfRule>
          <xm:sqref>F14:J14</xm:sqref>
        </x14:conditionalFormatting>
        <x14:conditionalFormatting xmlns:xm="http://schemas.microsoft.com/office/excel/2006/main">
          <x14:cfRule type="dataBar" id="{307BAC02-E51A-44F2-A615-DE4FE16C3B43}">
            <x14:dataBar minLength="0" maxLength="100" border="1" negativeBarBorderColorSameAsPositive="0">
              <x14:cfvo type="autoMin"/>
              <x14:cfvo type="autoMax"/>
              <x14:borderColor rgb="FF638EC6"/>
              <x14:negativeFillColor rgb="FFFF0000"/>
              <x14:negativeBorderColor rgb="FFFF0000"/>
              <x14:axisColor rgb="FF000000"/>
            </x14:dataBar>
          </x14:cfRule>
          <xm:sqref>E17</xm:sqref>
        </x14:conditionalFormatting>
        <x14:conditionalFormatting xmlns:xm="http://schemas.microsoft.com/office/excel/2006/main">
          <x14:cfRule type="dataBar" id="{1FCAB301-2C5A-4971-99FE-0B6061F7C50C}">
            <x14:dataBar minLength="0" maxLength="100" border="1" negativeBarBorderColorSameAsPositive="0">
              <x14:cfvo type="autoMin"/>
              <x14:cfvo type="autoMax"/>
              <x14:borderColor rgb="FF638EC6"/>
              <x14:negativeFillColor rgb="FFFF0000"/>
              <x14:negativeBorderColor rgb="FFFF0000"/>
              <x14:axisColor rgb="FF000000"/>
            </x14:dataBar>
          </x14:cfRule>
          <xm:sqref>F17:H17</xm:sqref>
        </x14:conditionalFormatting>
        <x14:conditionalFormatting xmlns:xm="http://schemas.microsoft.com/office/excel/2006/main">
          <x14:cfRule type="dataBar" id="{386DCAD5-C97E-402C-B70A-9FA7784B121B}">
            <x14:dataBar minLength="0" maxLength="100" border="1" negativeBarBorderColorSameAsPositive="0">
              <x14:cfvo type="autoMin"/>
              <x14:cfvo type="autoMax"/>
              <x14:borderColor rgb="FF638EC6"/>
              <x14:negativeFillColor rgb="FFFF0000"/>
              <x14:negativeBorderColor rgb="FFFF0000"/>
              <x14:axisColor rgb="FF000000"/>
            </x14:dataBar>
          </x14:cfRule>
          <xm:sqref>E20</xm:sqref>
        </x14:conditionalFormatting>
        <x14:conditionalFormatting xmlns:xm="http://schemas.microsoft.com/office/excel/2006/main">
          <x14:cfRule type="dataBar" id="{DB0E7BE6-C6A1-4615-B9F2-3F47B740BB96}">
            <x14:dataBar minLength="0" maxLength="100" border="1" negativeBarBorderColorSameAsPositive="0">
              <x14:cfvo type="autoMin"/>
              <x14:cfvo type="autoMax"/>
              <x14:borderColor rgb="FF638EC6"/>
              <x14:negativeFillColor rgb="FFFF0000"/>
              <x14:negativeBorderColor rgb="FFFF0000"/>
              <x14:axisColor rgb="FF000000"/>
            </x14:dataBar>
          </x14:cfRule>
          <xm:sqref>F20:J20</xm:sqref>
        </x14:conditionalFormatting>
        <x14:conditionalFormatting xmlns:xm="http://schemas.microsoft.com/office/excel/2006/main">
          <x14:cfRule type="dataBar" id="{EBB789A7-D365-4A41-AEA5-31B5D064E6EC}">
            <x14:dataBar minLength="0" maxLength="100" border="1" negativeBarBorderColorSameAsPositive="0">
              <x14:cfvo type="autoMin"/>
              <x14:cfvo type="autoMax"/>
              <x14:borderColor rgb="FF638EC6"/>
              <x14:negativeFillColor rgb="FFFF0000"/>
              <x14:negativeBorderColor rgb="FFFF0000"/>
              <x14:axisColor rgb="FF000000"/>
            </x14:dataBar>
          </x14:cfRule>
          <xm:sqref>E23</xm:sqref>
        </x14:conditionalFormatting>
        <x14:conditionalFormatting xmlns:xm="http://schemas.microsoft.com/office/excel/2006/main">
          <x14:cfRule type="dataBar" id="{D36B8AB4-F856-497A-A71D-985F47997572}">
            <x14:dataBar minLength="0" maxLength="100" border="1" negativeBarBorderColorSameAsPositive="0">
              <x14:cfvo type="autoMin"/>
              <x14:cfvo type="autoMax"/>
              <x14:borderColor rgb="FF638EC6"/>
              <x14:negativeFillColor rgb="FFFF0000"/>
              <x14:negativeBorderColor rgb="FFFF0000"/>
              <x14:axisColor rgb="FF000000"/>
            </x14:dataBar>
          </x14:cfRule>
          <xm:sqref>F23:J23</xm:sqref>
        </x14:conditionalFormatting>
        <x14:conditionalFormatting xmlns:xm="http://schemas.microsoft.com/office/excel/2006/main">
          <x14:cfRule type="dataBar" id="{2EB14FD4-F197-42DF-9FED-E4705671D1AC}">
            <x14:dataBar minLength="0" maxLength="100" border="1" negativeBarBorderColorSameAsPositive="0">
              <x14:cfvo type="autoMin"/>
              <x14:cfvo type="autoMax"/>
              <x14:borderColor rgb="FF638EC6"/>
              <x14:negativeFillColor rgb="FFFF0000"/>
              <x14:negativeBorderColor rgb="FFFF0000"/>
              <x14:axisColor rgb="FF000000"/>
            </x14:dataBar>
          </x14:cfRule>
          <xm:sqref>E26</xm:sqref>
        </x14:conditionalFormatting>
        <x14:conditionalFormatting xmlns:xm="http://schemas.microsoft.com/office/excel/2006/main">
          <x14:cfRule type="dataBar" id="{ACDE1574-E4E5-4CC2-9C33-04D34C9BD43E}">
            <x14:dataBar minLength="0" maxLength="100" border="1" negativeBarBorderColorSameAsPositive="0">
              <x14:cfvo type="autoMin"/>
              <x14:cfvo type="autoMax"/>
              <x14:borderColor rgb="FF638EC6"/>
              <x14:negativeFillColor rgb="FFFF0000"/>
              <x14:negativeBorderColor rgb="FFFF0000"/>
              <x14:axisColor rgb="FF000000"/>
            </x14:dataBar>
          </x14:cfRule>
          <xm:sqref>F26:J26</xm:sqref>
        </x14:conditionalFormatting>
        <x14:conditionalFormatting xmlns:xm="http://schemas.microsoft.com/office/excel/2006/main">
          <x14:cfRule type="dataBar" id="{A34ECDCC-A9AD-4E85-901A-0D08897FC003}">
            <x14:dataBar minLength="0" maxLength="100" border="1" negativeBarBorderColorSameAsPositive="0">
              <x14:cfvo type="autoMin"/>
              <x14:cfvo type="autoMax"/>
              <x14:borderColor rgb="FF638EC6"/>
              <x14:negativeFillColor rgb="FFFF0000"/>
              <x14:negativeBorderColor rgb="FFFF0000"/>
              <x14:axisColor rgb="FF000000"/>
            </x14:dataBar>
          </x14:cfRule>
          <xm:sqref>E29</xm:sqref>
        </x14:conditionalFormatting>
        <x14:conditionalFormatting xmlns:xm="http://schemas.microsoft.com/office/excel/2006/main">
          <x14:cfRule type="dataBar" id="{B12FBE69-E63D-44E8-A5E8-31410A0B2144}">
            <x14:dataBar minLength="0" maxLength="100" border="1" negativeBarBorderColorSameAsPositive="0">
              <x14:cfvo type="autoMin"/>
              <x14:cfvo type="autoMax"/>
              <x14:borderColor rgb="FF638EC6"/>
              <x14:negativeFillColor rgb="FFFF0000"/>
              <x14:negativeBorderColor rgb="FFFF0000"/>
              <x14:axisColor rgb="FF000000"/>
            </x14:dataBar>
          </x14:cfRule>
          <xm:sqref>F29:J29</xm:sqref>
        </x14:conditionalFormatting>
        <x14:conditionalFormatting xmlns:xm="http://schemas.microsoft.com/office/excel/2006/main">
          <x14:cfRule type="dataBar" id="{9B21CA64-7552-4416-8E92-81C38DDD9AA9}">
            <x14:dataBar minLength="0" maxLength="100" border="1" negativeBarBorderColorSameAsPositive="0">
              <x14:cfvo type="autoMin"/>
              <x14:cfvo type="autoMax"/>
              <x14:borderColor rgb="FF638EC6"/>
              <x14:negativeFillColor rgb="FFFF0000"/>
              <x14:negativeBorderColor rgb="FFFF0000"/>
              <x14:axisColor rgb="FF000000"/>
            </x14:dataBar>
          </x14:cfRule>
          <xm:sqref>E32</xm:sqref>
        </x14:conditionalFormatting>
        <x14:conditionalFormatting xmlns:xm="http://schemas.microsoft.com/office/excel/2006/main">
          <x14:cfRule type="dataBar" id="{5E48E028-51CE-42DA-859C-8B00FA3A86C9}">
            <x14:dataBar minLength="0" maxLength="100" border="1" negativeBarBorderColorSameAsPositive="0">
              <x14:cfvo type="autoMin"/>
              <x14:cfvo type="autoMax"/>
              <x14:borderColor rgb="FF638EC6"/>
              <x14:negativeFillColor rgb="FFFF0000"/>
              <x14:negativeBorderColor rgb="FFFF0000"/>
              <x14:axisColor rgb="FF000000"/>
            </x14:dataBar>
          </x14:cfRule>
          <xm:sqref>E35</xm:sqref>
        </x14:conditionalFormatting>
        <x14:conditionalFormatting xmlns:xm="http://schemas.microsoft.com/office/excel/2006/main">
          <x14:cfRule type="dataBar" id="{DA1FD200-6090-4DF7-934D-3581409A62B1}">
            <x14:dataBar minLength="0" maxLength="100" border="1" negativeBarBorderColorSameAsPositive="0">
              <x14:cfvo type="autoMin"/>
              <x14:cfvo type="autoMax"/>
              <x14:borderColor rgb="FF638EC6"/>
              <x14:negativeFillColor rgb="FFFF0000"/>
              <x14:negativeBorderColor rgb="FFFF0000"/>
              <x14:axisColor rgb="FF000000"/>
            </x14:dataBar>
          </x14:cfRule>
          <xm:sqref>F35:J35</xm:sqref>
        </x14:conditionalFormatting>
        <x14:conditionalFormatting xmlns:xm="http://schemas.microsoft.com/office/excel/2006/main">
          <x14:cfRule type="dataBar" id="{B629F34D-D398-474E-A49E-9C161D66A133}">
            <x14:dataBar minLength="0" maxLength="100" border="1" negativeBarBorderColorSameAsPositive="0">
              <x14:cfvo type="autoMin"/>
              <x14:cfvo type="autoMax"/>
              <x14:borderColor rgb="FF638EC6"/>
              <x14:negativeFillColor rgb="FFFF0000"/>
              <x14:negativeBorderColor rgb="FFFF0000"/>
              <x14:axisColor rgb="FF000000"/>
            </x14:dataBar>
          </x14:cfRule>
          <xm:sqref>E38</xm:sqref>
        </x14:conditionalFormatting>
        <x14:conditionalFormatting xmlns:xm="http://schemas.microsoft.com/office/excel/2006/main">
          <x14:cfRule type="dataBar" id="{D4501AE0-9921-42D8-9444-8CC713993E09}">
            <x14:dataBar minLength="0" maxLength="100" border="1" negativeBarBorderColorSameAsPositive="0">
              <x14:cfvo type="autoMin"/>
              <x14:cfvo type="autoMax"/>
              <x14:borderColor rgb="FF638EC6"/>
              <x14:negativeFillColor rgb="FFFF0000"/>
              <x14:negativeBorderColor rgb="FFFF0000"/>
              <x14:axisColor rgb="FF000000"/>
            </x14:dataBar>
          </x14:cfRule>
          <xm:sqref>F38:J38</xm:sqref>
        </x14:conditionalFormatting>
        <x14:conditionalFormatting xmlns:xm="http://schemas.microsoft.com/office/excel/2006/main">
          <x14:cfRule type="dataBar" id="{83B0A178-090E-4B05-8625-D691725F9648}">
            <x14:dataBar minLength="0" maxLength="100" border="1" negativeBarBorderColorSameAsPositive="0">
              <x14:cfvo type="autoMin"/>
              <x14:cfvo type="autoMax"/>
              <x14:borderColor rgb="FF638EC6"/>
              <x14:negativeFillColor rgb="FFFF0000"/>
              <x14:negativeBorderColor rgb="FFFF0000"/>
              <x14:axisColor rgb="FF000000"/>
            </x14:dataBar>
          </x14:cfRule>
          <xm:sqref>E41</xm:sqref>
        </x14:conditionalFormatting>
        <x14:conditionalFormatting xmlns:xm="http://schemas.microsoft.com/office/excel/2006/main">
          <x14:cfRule type="dataBar" id="{1725DFA8-049B-4313-966D-7676BFA75D9A}">
            <x14:dataBar minLength="0" maxLength="100" border="1" negativeBarBorderColorSameAsPositive="0">
              <x14:cfvo type="autoMin"/>
              <x14:cfvo type="autoMax"/>
              <x14:borderColor rgb="FF638EC6"/>
              <x14:negativeFillColor rgb="FFFF0000"/>
              <x14:negativeBorderColor rgb="FFFF0000"/>
              <x14:axisColor rgb="FF000000"/>
            </x14:dataBar>
          </x14:cfRule>
          <xm:sqref>F41:J41</xm:sqref>
        </x14:conditionalFormatting>
        <x14:conditionalFormatting xmlns:xm="http://schemas.microsoft.com/office/excel/2006/main">
          <x14:cfRule type="dataBar" id="{4C1E9167-C454-4D30-A267-9169C510A811}">
            <x14:dataBar minLength="0" maxLength="100" border="1" negativeBarBorderColorSameAsPositive="0">
              <x14:cfvo type="autoMin"/>
              <x14:cfvo type="autoMax"/>
              <x14:borderColor rgb="FF638EC6"/>
              <x14:negativeFillColor rgb="FFFF0000"/>
              <x14:negativeBorderColor rgb="FFFF0000"/>
              <x14:axisColor rgb="FF000000"/>
            </x14:dataBar>
          </x14:cfRule>
          <xm:sqref>E44</xm:sqref>
        </x14:conditionalFormatting>
        <x14:conditionalFormatting xmlns:xm="http://schemas.microsoft.com/office/excel/2006/main">
          <x14:cfRule type="dataBar" id="{E07B4FB1-6C45-4E3A-9FC3-9F550F58EC32}">
            <x14:dataBar minLength="0" maxLength="100" border="1" negativeBarBorderColorSameAsPositive="0">
              <x14:cfvo type="autoMin"/>
              <x14:cfvo type="autoMax"/>
              <x14:borderColor rgb="FF638EC6"/>
              <x14:negativeFillColor rgb="FFFF0000"/>
              <x14:negativeBorderColor rgb="FFFF0000"/>
              <x14:axisColor rgb="FF000000"/>
            </x14:dataBar>
          </x14:cfRule>
          <xm:sqref>F44:J44</xm:sqref>
        </x14:conditionalFormatting>
        <x14:conditionalFormatting xmlns:xm="http://schemas.microsoft.com/office/excel/2006/main">
          <x14:cfRule type="dataBar" id="{5F5D0106-71BA-490C-BE73-4E69A1287BE4}">
            <x14:dataBar minLength="0" maxLength="100" border="1" negativeBarBorderColorSameAsPositive="0">
              <x14:cfvo type="autoMin"/>
              <x14:cfvo type="autoMax"/>
              <x14:borderColor rgb="FF638EC6"/>
              <x14:negativeFillColor rgb="FFFF0000"/>
              <x14:negativeBorderColor rgb="FFFF0000"/>
              <x14:axisColor rgb="FF000000"/>
            </x14:dataBar>
          </x14:cfRule>
          <xm:sqref>E47</xm:sqref>
        </x14:conditionalFormatting>
        <x14:conditionalFormatting xmlns:xm="http://schemas.microsoft.com/office/excel/2006/main">
          <x14:cfRule type="dataBar" id="{D6D7EC8E-753F-4162-B2F6-F1D5247DB484}">
            <x14:dataBar minLength="0" maxLength="100" border="1" negativeBarBorderColorSameAsPositive="0">
              <x14:cfvo type="autoMin"/>
              <x14:cfvo type="autoMax"/>
              <x14:borderColor rgb="FF638EC6"/>
              <x14:negativeFillColor rgb="FFFF0000"/>
              <x14:negativeBorderColor rgb="FFFF0000"/>
              <x14:axisColor rgb="FF000000"/>
            </x14:dataBar>
          </x14:cfRule>
          <xm:sqref>F47:J47</xm:sqref>
        </x14:conditionalFormatting>
        <x14:conditionalFormatting xmlns:xm="http://schemas.microsoft.com/office/excel/2006/main">
          <x14:cfRule type="dataBar" id="{5CF125BC-CE39-48F3-98E0-6FE3CD08FF18}">
            <x14:dataBar minLength="0" maxLength="100" border="1" negativeBarBorderColorSameAsPositive="0">
              <x14:cfvo type="autoMin"/>
              <x14:cfvo type="autoMax"/>
              <x14:borderColor rgb="FF638EC6"/>
              <x14:negativeFillColor rgb="FFFF0000"/>
              <x14:negativeBorderColor rgb="FFFF0000"/>
              <x14:axisColor rgb="FF000000"/>
            </x14:dataBar>
          </x14:cfRule>
          <xm:sqref>E50</xm:sqref>
        </x14:conditionalFormatting>
        <x14:conditionalFormatting xmlns:xm="http://schemas.microsoft.com/office/excel/2006/main">
          <x14:cfRule type="dataBar" id="{3124A86B-BC8B-4C96-8274-103283C72285}">
            <x14:dataBar minLength="0" maxLength="100" border="1" negativeBarBorderColorSameAsPositive="0">
              <x14:cfvo type="autoMin"/>
              <x14:cfvo type="autoMax"/>
              <x14:borderColor rgb="FF638EC6"/>
              <x14:negativeFillColor rgb="FFFF0000"/>
              <x14:negativeBorderColor rgb="FFFF0000"/>
              <x14:axisColor rgb="FF000000"/>
            </x14:dataBar>
          </x14:cfRule>
          <xm:sqref>F50:J50</xm:sqref>
        </x14:conditionalFormatting>
        <x14:conditionalFormatting xmlns:xm="http://schemas.microsoft.com/office/excel/2006/main">
          <x14:cfRule type="dataBar" id="{FF3B834C-867F-40D7-82C0-DA01E164EC0B}">
            <x14:dataBar minLength="0" maxLength="100" border="1" negativeBarBorderColorSameAsPositive="0">
              <x14:cfvo type="autoMin"/>
              <x14:cfvo type="autoMax"/>
              <x14:borderColor rgb="FF638EC6"/>
              <x14:negativeFillColor rgb="FFFF0000"/>
              <x14:negativeBorderColor rgb="FFFF0000"/>
              <x14:axisColor rgb="FF000000"/>
            </x14:dataBar>
          </x14:cfRule>
          <xm:sqref>F32:J32</xm:sqref>
        </x14:conditionalFormatting>
        <x14:conditionalFormatting xmlns:xm="http://schemas.microsoft.com/office/excel/2006/main">
          <x14:cfRule type="dataBar" id="{9EAC6F47-7A91-4942-9457-731BA9027B59}">
            <x14:dataBar minLength="0" maxLength="100" border="1" negativeBarBorderColorSameAsPositive="0">
              <x14:cfvo type="autoMin"/>
              <x14:cfvo type="autoMax"/>
              <x14:borderColor rgb="FF638EC6"/>
              <x14:negativeFillColor rgb="FFFF0000"/>
              <x14:negativeBorderColor rgb="FFFF0000"/>
              <x14:axisColor rgb="FF000000"/>
            </x14:dataBar>
          </x14:cfRule>
          <xm:sqref>M59:P59</xm:sqref>
        </x14:conditionalFormatting>
        <x14:conditionalFormatting xmlns:xm="http://schemas.microsoft.com/office/excel/2006/main">
          <x14:cfRule type="dataBar" id="{A748A9B5-985D-49CB-9258-DA4BE6ACECF4}">
            <x14:dataBar minLength="0" maxLength="100" border="1" negativeBarBorderColorSameAsPositive="0">
              <x14:cfvo type="autoMin"/>
              <x14:cfvo type="autoMax"/>
              <x14:borderColor rgb="FF638EC6"/>
              <x14:negativeFillColor rgb="FFFF0000"/>
              <x14:negativeBorderColor rgb="FFFF0000"/>
              <x14:axisColor rgb="FF000000"/>
            </x14:dataBar>
          </x14:cfRule>
          <xm:sqref>L56</xm:sqref>
        </x14:conditionalFormatting>
        <x14:conditionalFormatting xmlns:xm="http://schemas.microsoft.com/office/excel/2006/main">
          <x14:cfRule type="dataBar" id="{C93E9FC5-A711-4A85-8E94-5CB15E92A705}">
            <x14:dataBar minLength="0" maxLength="100" border="1" negativeBarBorderColorSameAsPositive="0">
              <x14:cfvo type="autoMin"/>
              <x14:cfvo type="autoMax"/>
              <x14:borderColor rgb="FF638EC6"/>
              <x14:negativeFillColor rgb="FFFF0000"/>
              <x14:negativeBorderColor rgb="FFFF0000"/>
              <x14:axisColor rgb="FF000000"/>
            </x14:dataBar>
          </x14:cfRule>
          <xm:sqref>K53</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sqref="A1:B1"/>
    </sheetView>
  </sheetViews>
  <sheetFormatPr defaultColWidth="9" defaultRowHeight="15.6"/>
  <cols>
    <col min="1" max="1" width="10.33203125" style="212" customWidth="1"/>
    <col min="2" max="2" width="24.77734375" style="212" bestFit="1" customWidth="1"/>
    <col min="3" max="3" width="16.109375" style="212" bestFit="1" customWidth="1"/>
    <col min="4" max="4" width="17.44140625" style="212" bestFit="1" customWidth="1"/>
    <col min="5" max="6" width="11.88671875" style="212" bestFit="1" customWidth="1"/>
    <col min="7" max="16384" width="9" style="212"/>
  </cols>
  <sheetData>
    <row r="1" spans="1:4" ht="22.2">
      <c r="A1" s="334" t="s">
        <v>971</v>
      </c>
      <c r="B1" s="334"/>
      <c r="C1" s="208"/>
      <c r="D1" s="208"/>
    </row>
    <row r="2" spans="1:4" ht="21">
      <c r="A2" s="208"/>
      <c r="B2" s="208"/>
      <c r="C2" s="208"/>
      <c r="D2" s="208"/>
    </row>
    <row r="3" spans="1:4" ht="19.8">
      <c r="A3" s="51" t="s">
        <v>972</v>
      </c>
      <c r="B3" s="51" t="s">
        <v>973</v>
      </c>
    </row>
    <row r="4" spans="1:4" ht="19.8">
      <c r="A4" s="51" t="s">
        <v>822</v>
      </c>
      <c r="B4" s="213" t="s">
        <v>974</v>
      </c>
    </row>
    <row r="5" spans="1:4" ht="19.8">
      <c r="A5" s="51" t="s">
        <v>823</v>
      </c>
      <c r="B5" s="213" t="s">
        <v>975</v>
      </c>
    </row>
    <row r="6" spans="1:4" ht="19.8">
      <c r="A6" s="51" t="s">
        <v>824</v>
      </c>
      <c r="B6" s="213" t="s">
        <v>976</v>
      </c>
    </row>
    <row r="7" spans="1:4" ht="19.8">
      <c r="A7" s="51" t="s">
        <v>825</v>
      </c>
      <c r="B7" s="214" t="s">
        <v>977</v>
      </c>
    </row>
    <row r="8" spans="1:4" ht="19.8">
      <c r="A8" s="51" t="s">
        <v>826</v>
      </c>
      <c r="B8" s="214" t="s">
        <v>978</v>
      </c>
    </row>
  </sheetData>
  <mergeCells count="1">
    <mergeCell ref="A1:B1"/>
  </mergeCells>
  <phoneticPr fontId="1" type="noConversion"/>
  <hyperlinks>
    <hyperlink ref="B5" location="'B542'!A1" display="B型簡易溫室經費表"/>
    <hyperlink ref="B6" location="'B543'!A1" display="C型簡易溫室經費表"/>
    <hyperlink ref="B4" location="'B541'!A1" display="A型簡易溫室經費表"/>
  </hyperlinks>
  <pageMargins left="0.7" right="0.7" top="0.75" bottom="0.75" header="0.3" footer="0.3"/>
  <pageSetup paperSize="9" orientation="portrait" horizontalDpi="1200" verticalDpi="12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sqref="A1:B1"/>
    </sheetView>
  </sheetViews>
  <sheetFormatPr defaultRowHeight="16.2"/>
  <cols>
    <col min="1" max="1" width="7.21875" bestFit="1" customWidth="1"/>
    <col min="2" max="2" width="30" customWidth="1"/>
    <col min="3" max="3" width="20.109375" bestFit="1" customWidth="1"/>
    <col min="4" max="4" width="16.77734375" bestFit="1" customWidth="1"/>
    <col min="5" max="5" width="20.33203125" bestFit="1" customWidth="1"/>
    <col min="6" max="6" width="23" bestFit="1" customWidth="1"/>
    <col min="7" max="7" width="23.88671875" bestFit="1" customWidth="1"/>
  </cols>
  <sheetData>
    <row r="1" spans="1:7" ht="22.2">
      <c r="A1" s="378" t="s">
        <v>965</v>
      </c>
      <c r="B1" s="378"/>
      <c r="C1" s="108"/>
    </row>
    <row r="2" spans="1:7" ht="22.2">
      <c r="A2" s="139"/>
      <c r="B2" s="139"/>
      <c r="C2" s="139"/>
    </row>
    <row r="3" spans="1:7" ht="19.8">
      <c r="A3" s="295" t="s">
        <v>528</v>
      </c>
      <c r="B3" s="297"/>
      <c r="C3" s="142" t="str">
        <f>'B11'!C3</f>
        <v>洪培峯</v>
      </c>
      <c r="D3" s="39" t="s">
        <v>529</v>
      </c>
      <c r="E3" s="400" t="str">
        <f>'B11'!E3</f>
        <v>0936432078</v>
      </c>
      <c r="F3" s="401"/>
      <c r="G3" s="135"/>
    </row>
    <row r="4" spans="1:7" ht="19.8">
      <c r="A4" s="295" t="s">
        <v>310</v>
      </c>
      <c r="B4" s="296"/>
      <c r="C4" s="296"/>
      <c r="D4" s="296"/>
      <c r="E4" s="296"/>
      <c r="F4" s="296"/>
      <c r="G4" s="297"/>
    </row>
    <row r="5" spans="1:7" ht="19.8">
      <c r="A5" s="134" t="s">
        <v>89</v>
      </c>
      <c r="B5" s="39" t="s">
        <v>247</v>
      </c>
      <c r="C5" s="277" t="s">
        <v>309</v>
      </c>
      <c r="D5" s="277"/>
      <c r="E5" s="277"/>
      <c r="F5" s="278" t="s">
        <v>1234</v>
      </c>
      <c r="G5" s="123">
        <f>'B47'!I4/'B11'!C29</f>
        <v>1916.3560064569426</v>
      </c>
    </row>
    <row r="6" spans="1:7" ht="19.8">
      <c r="A6" s="67">
        <v>1</v>
      </c>
      <c r="B6" s="39" t="s">
        <v>303</v>
      </c>
      <c r="C6" s="397" t="str">
        <f>'B11'!C6</f>
        <v>嘉義縣</v>
      </c>
      <c r="D6" s="398"/>
      <c r="E6" s="398"/>
      <c r="F6" s="398"/>
      <c r="G6" s="399"/>
    </row>
    <row r="7" spans="1:7" ht="19.8">
      <c r="A7" s="67">
        <v>2</v>
      </c>
      <c r="B7" s="39" t="s">
        <v>304</v>
      </c>
      <c r="C7" s="397" t="str">
        <f>'B11'!C7</f>
        <v>太保市</v>
      </c>
      <c r="D7" s="398"/>
      <c r="E7" s="398"/>
      <c r="F7" s="398"/>
      <c r="G7" s="399"/>
    </row>
    <row r="8" spans="1:7" ht="19.8">
      <c r="A8" s="67">
        <v>3</v>
      </c>
      <c r="B8" s="39" t="s">
        <v>305</v>
      </c>
      <c r="C8" s="397" t="str">
        <f>'B11'!C8</f>
        <v>嘉義縣太保市新埤段新埤小段837地號</v>
      </c>
      <c r="D8" s="398"/>
      <c r="E8" s="398"/>
      <c r="F8" s="398"/>
      <c r="G8" s="399"/>
    </row>
    <row r="9" spans="1:7" ht="19.8">
      <c r="A9" s="67">
        <v>4</v>
      </c>
      <c r="B9" s="105" t="s">
        <v>557</v>
      </c>
      <c r="C9" s="404" t="str">
        <f>'B11'!C9</f>
        <v>23.483095, 120.338510</v>
      </c>
      <c r="D9" s="405"/>
      <c r="E9" s="405"/>
      <c r="F9" s="405"/>
      <c r="G9" s="406"/>
    </row>
    <row r="10" spans="1:7" ht="19.8">
      <c r="A10" s="67">
        <v>5</v>
      </c>
      <c r="B10" s="295" t="s">
        <v>558</v>
      </c>
      <c r="C10" s="296"/>
      <c r="D10" s="296"/>
      <c r="E10" s="296"/>
      <c r="F10" s="296"/>
      <c r="G10" s="297"/>
    </row>
    <row r="11" spans="1:7" ht="19.8">
      <c r="A11" s="67">
        <v>6</v>
      </c>
      <c r="B11" s="105" t="s">
        <v>84</v>
      </c>
      <c r="C11" s="124" t="s">
        <v>654</v>
      </c>
      <c r="D11" s="134" t="s">
        <v>559</v>
      </c>
      <c r="E11" s="66">
        <f>'B11'!C26</f>
        <v>22.6</v>
      </c>
      <c r="F11" s="134" t="s">
        <v>560</v>
      </c>
      <c r="G11" s="66">
        <f>'B11'!C27</f>
        <v>102</v>
      </c>
    </row>
    <row r="12" spans="1:7" ht="19.8">
      <c r="A12" s="67">
        <v>7</v>
      </c>
      <c r="B12" s="105" t="s">
        <v>562</v>
      </c>
      <c r="C12" s="66">
        <f>'B461'!B9</f>
        <v>565</v>
      </c>
      <c r="D12" s="134" t="s">
        <v>88</v>
      </c>
      <c r="E12" s="66">
        <f>'B461'!D9</f>
        <v>4</v>
      </c>
      <c r="F12" s="134" t="s">
        <v>564</v>
      </c>
      <c r="G12" s="125">
        <f>'B461'!E11</f>
        <v>698.54545454545462</v>
      </c>
    </row>
    <row r="13" spans="1:7" ht="19.8">
      <c r="A13" s="67">
        <v>8</v>
      </c>
      <c r="B13" s="105" t="s">
        <v>291</v>
      </c>
      <c r="C13" s="66">
        <f>'B461'!B11</f>
        <v>550</v>
      </c>
      <c r="D13" s="96" t="s">
        <v>479</v>
      </c>
      <c r="E13" s="66">
        <f>'B461'!C11</f>
        <v>240</v>
      </c>
      <c r="F13" s="96" t="s">
        <v>480</v>
      </c>
      <c r="G13" s="66">
        <f>'B461'!D11</f>
        <v>310</v>
      </c>
    </row>
    <row r="14" spans="1:7" ht="19.8">
      <c r="A14" s="67">
        <v>9</v>
      </c>
      <c r="B14" s="295" t="s">
        <v>592</v>
      </c>
      <c r="C14" s="296"/>
      <c r="D14" s="296"/>
      <c r="E14" s="296"/>
      <c r="F14" s="296"/>
      <c r="G14" s="297"/>
    </row>
    <row r="15" spans="1:7" ht="19.8">
      <c r="A15" s="67">
        <v>10</v>
      </c>
      <c r="B15" s="134" t="s">
        <v>593</v>
      </c>
      <c r="C15" s="134" t="s">
        <v>596</v>
      </c>
      <c r="D15" s="134" t="s">
        <v>597</v>
      </c>
      <c r="E15" s="134" t="s">
        <v>593</v>
      </c>
      <c r="F15" s="134" t="s">
        <v>596</v>
      </c>
      <c r="G15" s="134" t="s">
        <v>597</v>
      </c>
    </row>
    <row r="16" spans="1:7" ht="19.8">
      <c r="A16" s="67">
        <v>11</v>
      </c>
      <c r="B16" s="134" t="s">
        <v>655</v>
      </c>
      <c r="C16" s="15">
        <f>'B461'!D17</f>
        <v>510</v>
      </c>
      <c r="D16" s="15">
        <f>'B461'!F17*'B461'!$G$15</f>
        <v>8</v>
      </c>
      <c r="E16" s="134" t="s">
        <v>598</v>
      </c>
      <c r="F16" s="15">
        <f>'B461'!D28</f>
        <v>330</v>
      </c>
      <c r="G16" s="15">
        <f>'B461'!F28*'B461'!G26</f>
        <v>404</v>
      </c>
    </row>
    <row r="17" spans="1:7" ht="19.8">
      <c r="A17" s="67">
        <v>12</v>
      </c>
      <c r="B17" s="134" t="s">
        <v>655</v>
      </c>
      <c r="C17" s="15">
        <f>'B461'!D18</f>
        <v>480</v>
      </c>
      <c r="D17" s="15">
        <f>'B461'!F18*'B461'!$G$15</f>
        <v>16</v>
      </c>
      <c r="E17" s="134" t="s">
        <v>598</v>
      </c>
      <c r="F17" s="15">
        <f>'B461'!D30</f>
        <v>100</v>
      </c>
      <c r="G17" s="15">
        <f>'B461'!F30*'B461'!G26</f>
        <v>404</v>
      </c>
    </row>
    <row r="18" spans="1:7" ht="19.8">
      <c r="A18" s="67">
        <v>13</v>
      </c>
      <c r="B18" s="134" t="s">
        <v>655</v>
      </c>
      <c r="C18" s="15">
        <f>'B461'!D19</f>
        <v>400</v>
      </c>
      <c r="D18" s="15">
        <f>'B461'!F19*'B461'!$G$15</f>
        <v>16</v>
      </c>
      <c r="E18" s="109"/>
      <c r="F18" s="109"/>
      <c r="G18" s="109"/>
    </row>
    <row r="19" spans="1:7" ht="19.8">
      <c r="A19" s="67">
        <v>14</v>
      </c>
      <c r="B19" s="134" t="s">
        <v>655</v>
      </c>
      <c r="C19" s="15">
        <f>'B461'!D20</f>
        <v>240</v>
      </c>
      <c r="D19" s="15">
        <f>'B461'!F20*'B461'!$G$15+'B461'!F33*'B461'!$G$26</f>
        <v>824</v>
      </c>
      <c r="E19" s="134" t="s">
        <v>657</v>
      </c>
      <c r="F19" s="15">
        <f>'B461'!D22</f>
        <v>700</v>
      </c>
      <c r="G19" s="15">
        <f>'B461'!F22*'B461'!G15</f>
        <v>16</v>
      </c>
    </row>
    <row r="20" spans="1:7" ht="19.8">
      <c r="A20" s="67">
        <v>15</v>
      </c>
      <c r="B20" s="134" t="s">
        <v>655</v>
      </c>
      <c r="C20" s="122">
        <f>'B461'!D21</f>
        <v>947.19018505732276</v>
      </c>
      <c r="D20" s="15">
        <f>'B461'!F21*'B461'!$G$15+'B461'!F34*'B461'!$G$26</f>
        <v>412</v>
      </c>
      <c r="E20" s="134" t="s">
        <v>657</v>
      </c>
      <c r="F20" s="15">
        <f>'B461'!D31</f>
        <v>100</v>
      </c>
      <c r="G20" s="15">
        <f>'B461'!F31*'B461'!G26</f>
        <v>2020</v>
      </c>
    </row>
    <row r="21" spans="1:7" ht="19.8">
      <c r="A21" s="67">
        <v>16</v>
      </c>
      <c r="B21" s="134" t="s">
        <v>595</v>
      </c>
      <c r="C21" s="15">
        <f>'B461'!D29</f>
        <v>700</v>
      </c>
      <c r="D21" s="15">
        <f>'B461'!F29*'B461'!G26</f>
        <v>404</v>
      </c>
      <c r="E21" s="134" t="s">
        <v>657</v>
      </c>
      <c r="F21" s="15">
        <f>'B461'!D32</f>
        <v>100</v>
      </c>
      <c r="G21" s="15">
        <f>'B461'!F32*'B461'!G26</f>
        <v>606</v>
      </c>
    </row>
    <row r="22" spans="1:7" ht="19.8">
      <c r="A22" s="67">
        <v>17</v>
      </c>
      <c r="B22" s="134" t="s">
        <v>593</v>
      </c>
      <c r="C22" s="134" t="s">
        <v>596</v>
      </c>
      <c r="D22" s="134" t="s">
        <v>597</v>
      </c>
      <c r="E22" s="134" t="s">
        <v>593</v>
      </c>
      <c r="F22" s="134" t="s">
        <v>596</v>
      </c>
      <c r="G22" s="134" t="s">
        <v>597</v>
      </c>
    </row>
    <row r="23" spans="1:7" ht="19.8">
      <c r="A23" s="67">
        <v>18</v>
      </c>
      <c r="B23" s="127" t="s">
        <v>656</v>
      </c>
      <c r="C23" s="123">
        <v>800</v>
      </c>
      <c r="D23" s="123">
        <f>(D16*C16+D17*C17+D18*C18+D19*C19+D20*C20)/C23</f>
        <v>757.70294530452111</v>
      </c>
      <c r="E23" s="127" t="s">
        <v>614</v>
      </c>
      <c r="F23" s="123">
        <v>800</v>
      </c>
      <c r="G23" s="123">
        <f>((G16*F16)+(G17*F17))/F23</f>
        <v>217.15</v>
      </c>
    </row>
    <row r="24" spans="1:7" ht="19.8">
      <c r="A24" s="67">
        <v>19</v>
      </c>
      <c r="B24" s="127" t="s">
        <v>616</v>
      </c>
      <c r="C24" s="66">
        <v>800</v>
      </c>
      <c r="D24" s="123">
        <f>((G19*F19)+(G20*F20)+(G21*F21))/C24</f>
        <v>342.25</v>
      </c>
    </row>
    <row r="25" spans="1:7" ht="19.8">
      <c r="A25" s="67">
        <v>20</v>
      </c>
      <c r="B25" s="295" t="s">
        <v>599</v>
      </c>
      <c r="C25" s="296"/>
      <c r="D25" s="296"/>
      <c r="E25" s="296"/>
      <c r="F25" s="296"/>
      <c r="G25" s="297"/>
    </row>
    <row r="26" spans="1:7" ht="19.8">
      <c r="A26" s="67">
        <v>21</v>
      </c>
      <c r="B26" s="134" t="s">
        <v>608</v>
      </c>
      <c r="C26" s="134" t="s">
        <v>596</v>
      </c>
      <c r="D26" s="134" t="s">
        <v>597</v>
      </c>
      <c r="E26" s="109"/>
      <c r="F26" s="109"/>
      <c r="G26" s="109"/>
    </row>
    <row r="27" spans="1:7" ht="19.8">
      <c r="A27" s="67">
        <v>22</v>
      </c>
      <c r="B27" s="134" t="s">
        <v>604</v>
      </c>
      <c r="C27" s="15">
        <v>600</v>
      </c>
      <c r="D27" s="122">
        <f>(('B461'!F21*'B461'!G15*'B461'!D21)+('B461'!F34*'B461'!G26*'B461'!D34)/3)/C27</f>
        <v>235.7582996575043</v>
      </c>
      <c r="E27" s="109"/>
      <c r="F27" s="109"/>
      <c r="G27" s="109"/>
    </row>
    <row r="28" spans="1:7" ht="19.8">
      <c r="A28" s="67">
        <v>23</v>
      </c>
      <c r="B28" s="134" t="s">
        <v>605</v>
      </c>
      <c r="C28" s="15">
        <v>600</v>
      </c>
      <c r="D28" s="122">
        <f>('B461'!G26*4*100)/C28</f>
        <v>67.333333333333329</v>
      </c>
      <c r="E28" s="109"/>
      <c r="F28" s="109"/>
      <c r="G28" s="109"/>
    </row>
    <row r="29" spans="1:7" ht="19.8">
      <c r="A29" s="67">
        <v>24</v>
      </c>
      <c r="B29" s="134" t="s">
        <v>606</v>
      </c>
      <c r="C29" s="15">
        <v>800</v>
      </c>
      <c r="D29" s="122">
        <f>(4*'B461'!G15*'B461'!D22)/C29</f>
        <v>7</v>
      </c>
      <c r="E29" s="134"/>
      <c r="F29" s="134"/>
      <c r="G29" s="116"/>
    </row>
    <row r="30" spans="1:7" ht="19.8">
      <c r="A30" s="67">
        <v>25</v>
      </c>
      <c r="B30" s="134" t="s">
        <v>608</v>
      </c>
      <c r="C30" s="134" t="s">
        <v>596</v>
      </c>
      <c r="D30" s="134" t="s">
        <v>597</v>
      </c>
      <c r="E30" s="134" t="s">
        <v>608</v>
      </c>
      <c r="F30" s="134" t="s">
        <v>596</v>
      </c>
      <c r="G30" s="134" t="s">
        <v>597</v>
      </c>
    </row>
    <row r="31" spans="1:7" ht="19.8">
      <c r="A31" s="67">
        <v>26</v>
      </c>
      <c r="B31" s="127" t="s">
        <v>607</v>
      </c>
      <c r="C31" s="123">
        <v>600</v>
      </c>
      <c r="D31" s="123">
        <f>(D27*C27+D28*C28+D29*C29)/C31</f>
        <v>312.42496632417095</v>
      </c>
      <c r="E31" s="127" t="s">
        <v>103</v>
      </c>
      <c r="F31" s="66">
        <v>400</v>
      </c>
      <c r="G31" s="123">
        <f>('B461'!$G$26+1)*('B461'!E26+1)*100/F31</f>
        <v>127.5</v>
      </c>
    </row>
    <row r="32" spans="1:7" ht="19.8">
      <c r="A32" s="67">
        <v>27</v>
      </c>
      <c r="B32" s="127" t="s">
        <v>603</v>
      </c>
      <c r="C32" s="407" t="str">
        <f>'B11'!C35</f>
        <v>白鐵</v>
      </c>
      <c r="D32" s="408"/>
      <c r="E32" s="134"/>
      <c r="F32" s="134"/>
      <c r="G32" s="134"/>
    </row>
    <row r="33" spans="1:7" ht="19.8">
      <c r="A33" s="67">
        <v>28</v>
      </c>
      <c r="B33" s="134" t="s">
        <v>608</v>
      </c>
      <c r="C33" s="134" t="s">
        <v>612</v>
      </c>
      <c r="D33" s="134" t="s">
        <v>608</v>
      </c>
      <c r="E33" s="134" t="s">
        <v>612</v>
      </c>
      <c r="F33" s="134" t="s">
        <v>608</v>
      </c>
      <c r="G33" s="134" t="s">
        <v>612</v>
      </c>
    </row>
    <row r="34" spans="1:7" ht="19.8">
      <c r="A34" s="67">
        <v>29</v>
      </c>
      <c r="B34" s="127" t="s">
        <v>611</v>
      </c>
      <c r="C34" s="123">
        <f>'B461'!F13*('B461'!D9+1)</f>
        <v>110</v>
      </c>
      <c r="D34" s="127" t="s">
        <v>634</v>
      </c>
      <c r="E34" s="123">
        <v>12</v>
      </c>
      <c r="F34" s="66"/>
      <c r="G34" s="123"/>
    </row>
    <row r="35" spans="1:7" ht="19.8">
      <c r="A35" s="67">
        <v>30</v>
      </c>
      <c r="B35" s="134" t="s">
        <v>608</v>
      </c>
      <c r="C35" s="134" t="s">
        <v>612</v>
      </c>
      <c r="D35" s="134" t="s">
        <v>608</v>
      </c>
      <c r="E35" s="134" t="s">
        <v>612</v>
      </c>
      <c r="F35" s="134" t="s">
        <v>608</v>
      </c>
      <c r="G35" s="134" t="s">
        <v>612</v>
      </c>
    </row>
    <row r="36" spans="1:7" ht="19.8">
      <c r="A36" s="67">
        <v>31</v>
      </c>
      <c r="B36" s="127"/>
      <c r="C36" s="123"/>
      <c r="D36" s="127"/>
      <c r="E36" s="123"/>
      <c r="F36" s="66"/>
      <c r="G36" s="123"/>
    </row>
    <row r="37" spans="1:7" ht="19.8">
      <c r="A37" s="67">
        <v>32</v>
      </c>
      <c r="B37" s="295" t="s">
        <v>620</v>
      </c>
      <c r="C37" s="296"/>
      <c r="D37" s="296"/>
      <c r="E37" s="296"/>
      <c r="F37" s="296"/>
      <c r="G37" s="297"/>
    </row>
    <row r="38" spans="1:7" ht="19.8">
      <c r="A38" s="67">
        <v>33</v>
      </c>
      <c r="B38" s="134" t="s">
        <v>621</v>
      </c>
      <c r="C38" s="134" t="s">
        <v>618</v>
      </c>
      <c r="D38" s="134" t="s">
        <v>612</v>
      </c>
      <c r="E38" s="134" t="s">
        <v>621</v>
      </c>
      <c r="F38" s="134" t="s">
        <v>618</v>
      </c>
      <c r="G38" s="134" t="s">
        <v>612</v>
      </c>
    </row>
    <row r="39" spans="1:7" ht="19.8">
      <c r="A39" s="67">
        <v>34</v>
      </c>
      <c r="B39" s="127" t="s">
        <v>619</v>
      </c>
      <c r="C39" s="123">
        <f>'B461'!E9*100/30</f>
        <v>340</v>
      </c>
      <c r="D39" s="123">
        <f>'B461'!D9</f>
        <v>4</v>
      </c>
      <c r="E39" s="127" t="s">
        <v>631</v>
      </c>
      <c r="F39" s="123">
        <f>'B461'!E9*100/30</f>
        <v>340</v>
      </c>
      <c r="G39" s="123">
        <f>'B461'!D9</f>
        <v>4</v>
      </c>
    </row>
    <row r="40" spans="1:7" ht="19.8">
      <c r="A40" s="67">
        <v>35</v>
      </c>
      <c r="B40" s="127" t="s">
        <v>630</v>
      </c>
      <c r="C40" s="123">
        <f>'B461'!E9</f>
        <v>102</v>
      </c>
      <c r="D40" s="123">
        <f>'B461'!D9</f>
        <v>4</v>
      </c>
      <c r="E40" s="127" t="s">
        <v>632</v>
      </c>
      <c r="F40" s="123">
        <v>55</v>
      </c>
      <c r="G40" s="123">
        <f>'B461'!D9</f>
        <v>4</v>
      </c>
    </row>
    <row r="41" spans="1:7" ht="19.8">
      <c r="A41" s="67">
        <v>36</v>
      </c>
      <c r="B41" s="127" t="s">
        <v>629</v>
      </c>
      <c r="C41" s="123">
        <v>37</v>
      </c>
      <c r="D41" s="123">
        <f>('B461'!E9*3.3/C41)+1</f>
        <v>10.097297297297297</v>
      </c>
      <c r="E41" s="127" t="s">
        <v>633</v>
      </c>
      <c r="F41" s="123">
        <v>12</v>
      </c>
      <c r="G41" s="123">
        <v>7</v>
      </c>
    </row>
    <row r="42" spans="1:7" ht="19.8">
      <c r="A42" s="67">
        <v>37</v>
      </c>
      <c r="B42" s="295" t="s">
        <v>622</v>
      </c>
      <c r="C42" s="296"/>
      <c r="D42" s="296"/>
      <c r="E42" s="296"/>
      <c r="F42" s="296"/>
      <c r="G42" s="297"/>
    </row>
    <row r="43" spans="1:7" ht="19.8">
      <c r="A43" s="67">
        <v>38</v>
      </c>
      <c r="B43" s="134" t="s">
        <v>247</v>
      </c>
      <c r="C43" s="134" t="s">
        <v>624</v>
      </c>
      <c r="D43" s="134" t="s">
        <v>618</v>
      </c>
      <c r="E43" s="134" t="s">
        <v>612</v>
      </c>
      <c r="F43" s="134" t="s">
        <v>1272</v>
      </c>
      <c r="G43" s="134" t="s">
        <v>1274</v>
      </c>
    </row>
    <row r="44" spans="1:7" ht="19.8">
      <c r="A44" s="67">
        <v>39</v>
      </c>
      <c r="B44" s="134" t="s">
        <v>623</v>
      </c>
      <c r="C44" s="123">
        <v>37</v>
      </c>
      <c r="D44" s="123">
        <f>('B461'!E9*100/30/2)+1</f>
        <v>171</v>
      </c>
      <c r="E44" s="123">
        <f>'B461'!D9*2</f>
        <v>8</v>
      </c>
      <c r="F44" s="281" t="s">
        <v>1275</v>
      </c>
      <c r="G44" s="123">
        <f>IF(F44="UV2892AD/0.15mm",'B52'!$K$41,'B52'!$K$42)</f>
        <v>3</v>
      </c>
    </row>
    <row r="45" spans="1:7" ht="19.8">
      <c r="A45" s="67">
        <v>40</v>
      </c>
      <c r="B45" s="134" t="s">
        <v>625</v>
      </c>
      <c r="C45" s="123">
        <v>7</v>
      </c>
      <c r="D45" s="123">
        <f>('B461'!E9*100/30/2)+1</f>
        <v>171</v>
      </c>
      <c r="E45" s="123">
        <f>'B461'!D9*2</f>
        <v>8</v>
      </c>
      <c r="F45" s="281" t="s">
        <v>1276</v>
      </c>
      <c r="G45" s="123">
        <f>IF(F45="UV2892AD/0.15mm",'B52'!$K$41,'B52'!$K$42)</f>
        <v>3</v>
      </c>
    </row>
    <row r="46" spans="1:7" ht="19.8">
      <c r="A46" s="67">
        <v>41</v>
      </c>
      <c r="B46" s="134" t="s">
        <v>625</v>
      </c>
      <c r="C46" s="123">
        <v>6</v>
      </c>
      <c r="D46" s="123">
        <f>('B461'!E9*100/30/2)+1</f>
        <v>171</v>
      </c>
      <c r="E46" s="123">
        <f>'B461'!D9*2</f>
        <v>8</v>
      </c>
      <c r="F46" s="281" t="s">
        <v>1275</v>
      </c>
      <c r="G46" s="123">
        <f>IF(F46="UV2892AD/0.15mm",'B52'!$K$41,'B52'!$K$42)</f>
        <v>3</v>
      </c>
    </row>
    <row r="47" spans="1:7" ht="19.8">
      <c r="A47" s="67">
        <v>42</v>
      </c>
      <c r="B47" s="134" t="s">
        <v>626</v>
      </c>
      <c r="C47" s="123">
        <v>22</v>
      </c>
      <c r="D47" s="123">
        <v>55</v>
      </c>
      <c r="E47" s="123">
        <v>2</v>
      </c>
      <c r="F47" s="281" t="s">
        <v>1275</v>
      </c>
      <c r="G47" s="123">
        <f>IF(F47="UV2892AD/0.15mm",'B52'!$K$41,'B52'!$K$42)</f>
        <v>3</v>
      </c>
    </row>
    <row r="48" spans="1:7" ht="19.8">
      <c r="A48" s="67">
        <v>43</v>
      </c>
      <c r="B48" s="134" t="s">
        <v>627</v>
      </c>
      <c r="C48" s="123">
        <v>12</v>
      </c>
      <c r="D48" s="123">
        <v>12</v>
      </c>
      <c r="E48" s="123">
        <v>6</v>
      </c>
      <c r="F48" s="281" t="s">
        <v>1275</v>
      </c>
      <c r="G48" s="123">
        <f>IF(F48="UV2892AD/0.15mm",'B52'!$K$41,'B52'!$K$42)</f>
        <v>3</v>
      </c>
    </row>
    <row r="49" spans="1:7" ht="19.8">
      <c r="A49" s="67">
        <v>44</v>
      </c>
      <c r="B49" s="134" t="s">
        <v>628</v>
      </c>
      <c r="C49" s="123">
        <v>6</v>
      </c>
      <c r="D49" s="123">
        <v>18</v>
      </c>
      <c r="E49" s="123">
        <v>4</v>
      </c>
      <c r="F49" s="281" t="s">
        <v>1275</v>
      </c>
      <c r="G49" s="123">
        <f>IF(F49="UV2892AD/0.15mm",'B52'!$K$41,'B52'!$K$42)</f>
        <v>3</v>
      </c>
    </row>
    <row r="50" spans="1:7" ht="22.2">
      <c r="A50" s="67">
        <v>45</v>
      </c>
      <c r="B50" s="369" t="s">
        <v>635</v>
      </c>
      <c r="C50" s="409"/>
      <c r="D50" s="409"/>
      <c r="E50" s="409"/>
      <c r="F50" s="409"/>
      <c r="G50" s="370"/>
    </row>
    <row r="51" spans="1:7" ht="22.2">
      <c r="A51" s="67">
        <v>46</v>
      </c>
      <c r="B51" s="128">
        <v>1</v>
      </c>
      <c r="C51" s="402" t="s">
        <v>636</v>
      </c>
      <c r="D51" s="402"/>
      <c r="E51" s="402"/>
      <c r="F51" s="402"/>
      <c r="G51" s="403"/>
    </row>
    <row r="52" spans="1:7" ht="22.2">
      <c r="A52" s="67">
        <v>47</v>
      </c>
      <c r="B52" s="128">
        <v>2</v>
      </c>
      <c r="C52" s="402"/>
      <c r="D52" s="402"/>
      <c r="E52" s="402"/>
      <c r="F52" s="402"/>
      <c r="G52" s="403"/>
    </row>
    <row r="53" spans="1:7" ht="22.2">
      <c r="A53" s="139"/>
      <c r="B53" s="139"/>
      <c r="C53" s="139"/>
    </row>
    <row r="54" spans="1:7" ht="22.2">
      <c r="A54" s="139"/>
      <c r="B54" s="139"/>
      <c r="C54" s="139"/>
    </row>
  </sheetData>
  <mergeCells count="17">
    <mergeCell ref="C52:G52"/>
    <mergeCell ref="C7:G7"/>
    <mergeCell ref="C8:G8"/>
    <mergeCell ref="C9:G9"/>
    <mergeCell ref="B10:G10"/>
    <mergeCell ref="B14:G14"/>
    <mergeCell ref="B25:G25"/>
    <mergeCell ref="C32:D32"/>
    <mergeCell ref="B37:G37"/>
    <mergeCell ref="B42:G42"/>
    <mergeCell ref="B50:G50"/>
    <mergeCell ref="C51:G51"/>
    <mergeCell ref="C6:G6"/>
    <mergeCell ref="A1:B1"/>
    <mergeCell ref="A3:B3"/>
    <mergeCell ref="E3:F3"/>
    <mergeCell ref="A4:G4"/>
  </mergeCells>
  <phoneticPr fontId="1" type="noConversion"/>
  <dataValidations count="1">
    <dataValidation type="list" allowBlank="1" showInputMessage="1" showErrorMessage="1" sqref="F44:F49">
      <formula1>"UV2892AD/0.15mm,UV2992AD/0.18mm"</formula1>
    </dataValidation>
  </dataValidations>
  <pageMargins left="0.7" right="0.7" top="0.75" bottom="0.75" header="0.3" footer="0.3"/>
  <pageSetup paperSize="9" orientation="portrait" horizontalDpi="1200" verticalDpi="120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topLeftCell="A40" workbookViewId="0">
      <selection activeCell="F42" sqref="F42:G48"/>
    </sheetView>
  </sheetViews>
  <sheetFormatPr defaultRowHeight="16.2"/>
  <cols>
    <col min="1" max="1" width="7.21875" bestFit="1" customWidth="1"/>
    <col min="2" max="2" width="30.109375" customWidth="1"/>
    <col min="3" max="3" width="20.109375" bestFit="1" customWidth="1"/>
    <col min="4" max="4" width="16.77734375" bestFit="1" customWidth="1"/>
    <col min="5" max="5" width="20.33203125" bestFit="1" customWidth="1"/>
    <col min="6" max="6" width="23" bestFit="1" customWidth="1"/>
    <col min="7" max="7" width="23.88671875" bestFit="1" customWidth="1"/>
  </cols>
  <sheetData>
    <row r="1" spans="1:7" ht="22.2">
      <c r="A1" s="378" t="s">
        <v>964</v>
      </c>
      <c r="B1" s="378"/>
      <c r="C1" s="108"/>
    </row>
    <row r="2" spans="1:7" ht="22.2">
      <c r="A2" s="114"/>
      <c r="B2" s="114"/>
      <c r="C2" s="114"/>
    </row>
    <row r="3" spans="1:7" ht="19.8">
      <c r="A3" s="295" t="s">
        <v>528</v>
      </c>
      <c r="B3" s="297"/>
      <c r="C3" s="126" t="str">
        <f>'B11'!C3</f>
        <v>洪培峯</v>
      </c>
      <c r="D3" s="39" t="s">
        <v>529</v>
      </c>
      <c r="E3" s="400" t="str">
        <f>'B11'!E3</f>
        <v>0936432078</v>
      </c>
      <c r="F3" s="401"/>
      <c r="G3" s="113"/>
    </row>
    <row r="4" spans="1:7" ht="19.8">
      <c r="A4" s="295" t="s">
        <v>310</v>
      </c>
      <c r="B4" s="296"/>
      <c r="C4" s="296"/>
      <c r="D4" s="296"/>
      <c r="E4" s="296"/>
      <c r="F4" s="296"/>
      <c r="G4" s="297"/>
    </row>
    <row r="5" spans="1:7" ht="19.8">
      <c r="A5" s="120" t="s">
        <v>89</v>
      </c>
      <c r="B5" s="39" t="s">
        <v>247</v>
      </c>
      <c r="C5" s="277" t="s">
        <v>309</v>
      </c>
      <c r="D5" s="277"/>
      <c r="E5" s="277"/>
      <c r="F5" s="278" t="s">
        <v>1234</v>
      </c>
      <c r="G5" s="123">
        <f>'B47'!I5/'B11'!C29</f>
        <v>2337.5213874760152</v>
      </c>
    </row>
    <row r="6" spans="1:7" ht="19.8">
      <c r="A6" s="67">
        <v>1</v>
      </c>
      <c r="B6" s="39" t="s">
        <v>303</v>
      </c>
      <c r="C6" s="397" t="str">
        <f>'B11'!C6</f>
        <v>嘉義縣</v>
      </c>
      <c r="D6" s="398"/>
      <c r="E6" s="398"/>
      <c r="F6" s="398"/>
      <c r="G6" s="399"/>
    </row>
    <row r="7" spans="1:7" ht="19.8">
      <c r="A7" s="67">
        <v>2</v>
      </c>
      <c r="B7" s="39" t="s">
        <v>304</v>
      </c>
      <c r="C7" s="397" t="str">
        <f>'B11'!C7</f>
        <v>太保市</v>
      </c>
      <c r="D7" s="398"/>
      <c r="E7" s="398"/>
      <c r="F7" s="398"/>
      <c r="G7" s="399"/>
    </row>
    <row r="8" spans="1:7" ht="19.8">
      <c r="A8" s="67">
        <v>3</v>
      </c>
      <c r="B8" s="39" t="s">
        <v>305</v>
      </c>
      <c r="C8" s="397" t="str">
        <f>'B11'!C8</f>
        <v>嘉義縣太保市新埤段新埤小段837地號</v>
      </c>
      <c r="D8" s="398"/>
      <c r="E8" s="398"/>
      <c r="F8" s="398"/>
      <c r="G8" s="399"/>
    </row>
    <row r="9" spans="1:7" ht="19.8">
      <c r="A9" s="67">
        <v>4</v>
      </c>
      <c r="B9" s="105" t="s">
        <v>557</v>
      </c>
      <c r="C9" s="404" t="str">
        <f>'B11'!C9</f>
        <v>23.483095, 120.338510</v>
      </c>
      <c r="D9" s="405"/>
      <c r="E9" s="405"/>
      <c r="F9" s="405"/>
      <c r="G9" s="406"/>
    </row>
    <row r="10" spans="1:7" ht="19.8">
      <c r="A10" s="67">
        <v>5</v>
      </c>
      <c r="B10" s="295" t="s">
        <v>558</v>
      </c>
      <c r="C10" s="296"/>
      <c r="D10" s="296"/>
      <c r="E10" s="296"/>
      <c r="F10" s="296"/>
      <c r="G10" s="297"/>
    </row>
    <row r="11" spans="1:7" ht="19.8">
      <c r="A11" s="67">
        <v>6</v>
      </c>
      <c r="B11" s="105" t="s">
        <v>84</v>
      </c>
      <c r="C11" s="124" t="s">
        <v>600</v>
      </c>
      <c r="D11" s="111" t="s">
        <v>559</v>
      </c>
      <c r="E11" s="66">
        <f>'B11'!C26</f>
        <v>22.6</v>
      </c>
      <c r="F11" s="111" t="s">
        <v>560</v>
      </c>
      <c r="G11" s="66">
        <f>'B11'!C27</f>
        <v>102</v>
      </c>
    </row>
    <row r="12" spans="1:7" ht="19.8">
      <c r="A12" s="67">
        <v>7</v>
      </c>
      <c r="B12" s="105" t="s">
        <v>562</v>
      </c>
      <c r="C12" s="66">
        <f>'B462'!B9</f>
        <v>565</v>
      </c>
      <c r="D12" s="111" t="s">
        <v>88</v>
      </c>
      <c r="E12" s="66">
        <f>'B462'!D9</f>
        <v>4</v>
      </c>
      <c r="F12" s="111" t="s">
        <v>564</v>
      </c>
      <c r="G12" s="125">
        <f>'B462'!E11</f>
        <v>698.54545454545462</v>
      </c>
    </row>
    <row r="13" spans="1:7" ht="19.8">
      <c r="A13" s="67">
        <v>8</v>
      </c>
      <c r="B13" s="105" t="s">
        <v>291</v>
      </c>
      <c r="C13" s="66">
        <f>'B462'!B11</f>
        <v>550</v>
      </c>
      <c r="D13" s="96" t="s">
        <v>479</v>
      </c>
      <c r="E13" s="66">
        <f>'B462'!C11</f>
        <v>240</v>
      </c>
      <c r="F13" s="96" t="s">
        <v>480</v>
      </c>
      <c r="G13" s="66">
        <f>'B462'!D11</f>
        <v>310</v>
      </c>
    </row>
    <row r="14" spans="1:7" ht="19.8">
      <c r="A14" s="67">
        <v>9</v>
      </c>
      <c r="B14" s="295" t="s">
        <v>592</v>
      </c>
      <c r="C14" s="296"/>
      <c r="D14" s="296"/>
      <c r="E14" s="296"/>
      <c r="F14" s="296"/>
      <c r="G14" s="297"/>
    </row>
    <row r="15" spans="1:7" ht="19.8">
      <c r="A15" s="67">
        <v>10</v>
      </c>
      <c r="B15" s="120" t="s">
        <v>593</v>
      </c>
      <c r="C15" s="120" t="s">
        <v>596</v>
      </c>
      <c r="D15" s="120" t="s">
        <v>597</v>
      </c>
      <c r="E15" s="120" t="s">
        <v>593</v>
      </c>
      <c r="F15" s="120" t="s">
        <v>596</v>
      </c>
      <c r="G15" s="120" t="s">
        <v>597</v>
      </c>
    </row>
    <row r="16" spans="1:7" ht="19.8">
      <c r="A16" s="67">
        <v>11</v>
      </c>
      <c r="B16" s="120" t="s">
        <v>594</v>
      </c>
      <c r="C16" s="15">
        <f>'B462'!D17</f>
        <v>510</v>
      </c>
      <c r="D16" s="15">
        <f>'B462'!F17*'B462'!$G$15</f>
        <v>16</v>
      </c>
      <c r="E16" s="120" t="s">
        <v>595</v>
      </c>
      <c r="F16" s="15">
        <f>'B462'!D29</f>
        <v>800</v>
      </c>
      <c r="G16" s="15">
        <f>'B462'!F29*'B462'!G26</f>
        <v>404</v>
      </c>
    </row>
    <row r="17" spans="1:7" ht="19.8">
      <c r="A17" s="67">
        <v>12</v>
      </c>
      <c r="B17" s="120" t="s">
        <v>594</v>
      </c>
      <c r="C17" s="15">
        <f>'B462'!D18</f>
        <v>480</v>
      </c>
      <c r="D17" s="15">
        <f>'B462'!F18*'B462'!$G$15</f>
        <v>16</v>
      </c>
      <c r="E17" s="120"/>
      <c r="F17" s="15"/>
      <c r="G17" s="15"/>
    </row>
    <row r="18" spans="1:7" ht="19.8">
      <c r="A18" s="67">
        <v>13</v>
      </c>
      <c r="B18" s="120" t="s">
        <v>594</v>
      </c>
      <c r="C18" s="15">
        <f>'B462'!D19</f>
        <v>400</v>
      </c>
      <c r="D18" s="15">
        <f>'B462'!F19*'B462'!$G$15</f>
        <v>16</v>
      </c>
      <c r="E18" s="120" t="s">
        <v>598</v>
      </c>
      <c r="F18" s="15">
        <v>800</v>
      </c>
      <c r="G18" s="15">
        <f>'B462'!F22*'B462'!G15</f>
        <v>16</v>
      </c>
    </row>
    <row r="19" spans="1:7" ht="19.8">
      <c r="A19" s="67">
        <v>14</v>
      </c>
      <c r="B19" s="120" t="s">
        <v>594</v>
      </c>
      <c r="C19" s="15">
        <f>'B462'!D20</f>
        <v>240</v>
      </c>
      <c r="D19" s="15">
        <f>'B462'!F20*'B462'!$G$15+'B462'!F32*'B462'!$G$26</f>
        <v>824</v>
      </c>
      <c r="E19" s="120" t="s">
        <v>598</v>
      </c>
      <c r="F19" s="15">
        <v>330</v>
      </c>
      <c r="G19" s="15">
        <f>'B462'!F28*'B462'!G26</f>
        <v>404</v>
      </c>
    </row>
    <row r="20" spans="1:7" ht="19.8">
      <c r="A20" s="67">
        <v>15</v>
      </c>
      <c r="B20" s="120" t="s">
        <v>594</v>
      </c>
      <c r="C20" s="122">
        <f>'B462'!D21</f>
        <v>994.13954193597021</v>
      </c>
      <c r="D20" s="15">
        <f>'B462'!F21*'B462'!$G$15+'B462'!F33*'B462'!$G$26</f>
        <v>412</v>
      </c>
      <c r="E20" s="120" t="s">
        <v>598</v>
      </c>
      <c r="F20" s="15">
        <v>100</v>
      </c>
      <c r="G20" s="15">
        <f>'B462'!F30*'B462'!G26+'B462'!F31*'B462'!G26</f>
        <v>3030</v>
      </c>
    </row>
    <row r="21" spans="1:7" ht="19.8">
      <c r="A21" s="67">
        <v>16</v>
      </c>
      <c r="B21" s="120" t="s">
        <v>593</v>
      </c>
      <c r="C21" s="120" t="s">
        <v>596</v>
      </c>
      <c r="D21" s="120" t="s">
        <v>597</v>
      </c>
      <c r="E21" s="120" t="s">
        <v>593</v>
      </c>
      <c r="F21" s="120" t="s">
        <v>596</v>
      </c>
      <c r="G21" s="120" t="s">
        <v>597</v>
      </c>
    </row>
    <row r="22" spans="1:7" ht="19.8">
      <c r="A22" s="67">
        <v>17</v>
      </c>
      <c r="B22" s="127" t="s">
        <v>613</v>
      </c>
      <c r="C22" s="123">
        <v>800</v>
      </c>
      <c r="D22" s="123">
        <f>(D16*C16+D17*C17+D18*C18+D19*C19+D20*C20)/C22</f>
        <v>786.98186409702464</v>
      </c>
      <c r="E22" s="127" t="s">
        <v>615</v>
      </c>
      <c r="F22" s="66">
        <v>800</v>
      </c>
      <c r="G22" s="123">
        <f>(G16*F16)/F22</f>
        <v>404</v>
      </c>
    </row>
    <row r="23" spans="1:7" ht="19.8">
      <c r="A23" s="67">
        <v>18</v>
      </c>
      <c r="B23" s="127" t="s">
        <v>614</v>
      </c>
      <c r="C23" s="123">
        <v>800</v>
      </c>
      <c r="D23" s="123">
        <f>((G18*F18)+(G19*F19)+(G20*F20))/C23</f>
        <v>561.4</v>
      </c>
      <c r="E23" s="127" t="s">
        <v>616</v>
      </c>
      <c r="F23" s="66">
        <v>800</v>
      </c>
      <c r="G23" s="123">
        <v>0</v>
      </c>
    </row>
    <row r="24" spans="1:7" ht="19.8">
      <c r="A24" s="67">
        <v>19</v>
      </c>
      <c r="B24" s="295" t="s">
        <v>599</v>
      </c>
      <c r="C24" s="296"/>
      <c r="D24" s="296"/>
      <c r="E24" s="296"/>
      <c r="F24" s="296"/>
      <c r="G24" s="297"/>
    </row>
    <row r="25" spans="1:7" ht="19.8">
      <c r="A25" s="67">
        <v>20</v>
      </c>
      <c r="B25" s="120" t="s">
        <v>608</v>
      </c>
      <c r="C25" s="120" t="s">
        <v>596</v>
      </c>
      <c r="D25" s="120" t="s">
        <v>597</v>
      </c>
      <c r="E25" s="109"/>
      <c r="F25" s="109"/>
      <c r="G25" s="109"/>
    </row>
    <row r="26" spans="1:7" ht="19.8">
      <c r="A26" s="67">
        <v>21</v>
      </c>
      <c r="B26" s="120" t="s">
        <v>604</v>
      </c>
      <c r="C26" s="15">
        <v>600</v>
      </c>
      <c r="D26" s="122">
        <f>(('B462'!F21*'B462'!G15*'B462'!D21)+('B462'!F33*'B462'!G26*'B462'!D33)/3)/C26</f>
        <v>236.38429108255289</v>
      </c>
      <c r="E26" s="109"/>
      <c r="F26" s="109"/>
      <c r="G26" s="109"/>
    </row>
    <row r="27" spans="1:7" ht="19.8">
      <c r="A27" s="67">
        <v>22</v>
      </c>
      <c r="B27" s="120" t="s">
        <v>605</v>
      </c>
      <c r="C27" s="15">
        <v>600</v>
      </c>
      <c r="D27" s="122">
        <f>('B462'!G26*4*100)/'B542'!C27</f>
        <v>67.333333333333329</v>
      </c>
      <c r="E27" s="109"/>
      <c r="F27" s="109"/>
      <c r="G27" s="109"/>
    </row>
    <row r="28" spans="1:7" ht="19.8">
      <c r="A28" s="67">
        <v>23</v>
      </c>
      <c r="B28" s="120" t="s">
        <v>606</v>
      </c>
      <c r="C28" s="15">
        <v>800</v>
      </c>
      <c r="D28" s="122">
        <f>(4*'B462'!G15*'B462'!D22)/'B542'!C28</f>
        <v>8</v>
      </c>
      <c r="E28" s="120"/>
      <c r="F28" s="120"/>
      <c r="G28" s="116"/>
    </row>
    <row r="29" spans="1:7" ht="19.8">
      <c r="A29" s="67">
        <v>24</v>
      </c>
      <c r="B29" s="120" t="s">
        <v>608</v>
      </c>
      <c r="C29" s="120" t="s">
        <v>596</v>
      </c>
      <c r="D29" s="120" t="s">
        <v>597</v>
      </c>
      <c r="E29" s="120" t="s">
        <v>608</v>
      </c>
      <c r="F29" s="120" t="s">
        <v>596</v>
      </c>
      <c r="G29" s="120" t="s">
        <v>597</v>
      </c>
    </row>
    <row r="30" spans="1:7" ht="19.8">
      <c r="A30" s="67">
        <v>25</v>
      </c>
      <c r="B30" s="127" t="s">
        <v>607</v>
      </c>
      <c r="C30" s="123">
        <v>600</v>
      </c>
      <c r="D30" s="123">
        <f>(D26*C26+D27*C27+D28*C28)/C30</f>
        <v>314.38429108255292</v>
      </c>
      <c r="E30" s="127" t="s">
        <v>609</v>
      </c>
      <c r="F30" s="66">
        <v>400</v>
      </c>
      <c r="G30" s="123">
        <f>('B462'!$G$26+1)*('B462'!E26+1)*100/F30</f>
        <v>127.5</v>
      </c>
    </row>
    <row r="31" spans="1:7" ht="19.8">
      <c r="A31" s="67">
        <v>26</v>
      </c>
      <c r="B31" s="127" t="s">
        <v>617</v>
      </c>
      <c r="C31" s="407" t="str">
        <f>'B11'!C35</f>
        <v>白鐵</v>
      </c>
      <c r="D31" s="408"/>
      <c r="E31" s="120"/>
      <c r="F31" s="120"/>
      <c r="G31" s="120"/>
    </row>
    <row r="32" spans="1:7" ht="19.8">
      <c r="A32" s="67">
        <v>27</v>
      </c>
      <c r="B32" s="120" t="s">
        <v>608</v>
      </c>
      <c r="C32" s="120" t="s">
        <v>612</v>
      </c>
      <c r="D32" s="120" t="s">
        <v>608</v>
      </c>
      <c r="E32" s="120" t="s">
        <v>612</v>
      </c>
      <c r="F32" s="120" t="s">
        <v>608</v>
      </c>
      <c r="G32" s="120" t="s">
        <v>612</v>
      </c>
    </row>
    <row r="33" spans="1:7" ht="19.8">
      <c r="A33" s="67">
        <v>28</v>
      </c>
      <c r="B33" s="127" t="s">
        <v>611</v>
      </c>
      <c r="C33" s="123">
        <f>'B462'!F13*('B462'!D9+1)</f>
        <v>110</v>
      </c>
      <c r="D33" s="127" t="s">
        <v>634</v>
      </c>
      <c r="E33" s="123">
        <v>12</v>
      </c>
      <c r="F33" s="66"/>
      <c r="G33" s="123"/>
    </row>
    <row r="34" spans="1:7" ht="19.8">
      <c r="A34" s="67">
        <v>29</v>
      </c>
      <c r="B34" s="120" t="s">
        <v>608</v>
      </c>
      <c r="C34" s="120" t="s">
        <v>612</v>
      </c>
      <c r="D34" s="120" t="s">
        <v>608</v>
      </c>
      <c r="E34" s="120" t="s">
        <v>612</v>
      </c>
      <c r="F34" s="120" t="s">
        <v>608</v>
      </c>
      <c r="G34" s="120" t="s">
        <v>612</v>
      </c>
    </row>
    <row r="35" spans="1:7" ht="19.8">
      <c r="A35" s="67">
        <v>30</v>
      </c>
      <c r="B35" s="127"/>
      <c r="C35" s="123"/>
      <c r="D35" s="127"/>
      <c r="E35" s="123"/>
      <c r="F35" s="66"/>
      <c r="G35" s="123"/>
    </row>
    <row r="36" spans="1:7" ht="19.8">
      <c r="A36" s="67">
        <v>31</v>
      </c>
      <c r="B36" s="295" t="s">
        <v>620</v>
      </c>
      <c r="C36" s="296"/>
      <c r="D36" s="296"/>
      <c r="E36" s="296"/>
      <c r="F36" s="296"/>
      <c r="G36" s="297"/>
    </row>
    <row r="37" spans="1:7" ht="19.8">
      <c r="A37" s="67">
        <v>32</v>
      </c>
      <c r="B37" s="120" t="s">
        <v>621</v>
      </c>
      <c r="C37" s="120" t="s">
        <v>618</v>
      </c>
      <c r="D37" s="120" t="s">
        <v>612</v>
      </c>
      <c r="E37" s="120" t="s">
        <v>621</v>
      </c>
      <c r="F37" s="120" t="s">
        <v>618</v>
      </c>
      <c r="G37" s="120" t="s">
        <v>612</v>
      </c>
    </row>
    <row r="38" spans="1:7" ht="19.8">
      <c r="A38" s="67">
        <v>33</v>
      </c>
      <c r="B38" s="127" t="s">
        <v>619</v>
      </c>
      <c r="C38" s="123">
        <f>'B462'!E9*100/30</f>
        <v>340</v>
      </c>
      <c r="D38" s="123">
        <f>'B462'!D9</f>
        <v>4</v>
      </c>
      <c r="E38" s="127" t="s">
        <v>631</v>
      </c>
      <c r="F38" s="123">
        <f>'B462'!E9*100/30</f>
        <v>340</v>
      </c>
      <c r="G38" s="123">
        <f>'B462'!D9</f>
        <v>4</v>
      </c>
    </row>
    <row r="39" spans="1:7" ht="19.8">
      <c r="A39" s="67">
        <v>34</v>
      </c>
      <c r="B39" s="127" t="s">
        <v>630</v>
      </c>
      <c r="C39" s="123">
        <f>'B462'!E9</f>
        <v>102</v>
      </c>
      <c r="D39" s="123">
        <f>'B462'!D9</f>
        <v>4</v>
      </c>
      <c r="E39" s="127" t="s">
        <v>632</v>
      </c>
      <c r="F39" s="123">
        <v>55</v>
      </c>
      <c r="G39" s="123">
        <f>'B462'!D9</f>
        <v>4</v>
      </c>
    </row>
    <row r="40" spans="1:7" ht="19.8">
      <c r="A40" s="67">
        <v>35</v>
      </c>
      <c r="B40" s="127" t="s">
        <v>629</v>
      </c>
      <c r="C40" s="123">
        <v>37</v>
      </c>
      <c r="D40" s="123">
        <f>('B462'!E9*3.3/C40)+1</f>
        <v>10.097297297297297</v>
      </c>
      <c r="E40" s="127" t="s">
        <v>633</v>
      </c>
      <c r="F40" s="123">
        <v>12</v>
      </c>
      <c r="G40" s="123">
        <v>7</v>
      </c>
    </row>
    <row r="41" spans="1:7" ht="19.8">
      <c r="A41" s="67">
        <v>36</v>
      </c>
      <c r="B41" s="295" t="s">
        <v>622</v>
      </c>
      <c r="C41" s="296"/>
      <c r="D41" s="296"/>
      <c r="E41" s="296"/>
      <c r="F41" s="296"/>
      <c r="G41" s="297"/>
    </row>
    <row r="42" spans="1:7" ht="19.8">
      <c r="A42" s="67">
        <v>37</v>
      </c>
      <c r="B42" s="120" t="s">
        <v>601</v>
      </c>
      <c r="C42" s="120" t="s">
        <v>624</v>
      </c>
      <c r="D42" s="120" t="s">
        <v>618</v>
      </c>
      <c r="E42" s="120" t="s">
        <v>612</v>
      </c>
      <c r="F42" s="279" t="s">
        <v>1272</v>
      </c>
      <c r="G42" s="279" t="s">
        <v>1274</v>
      </c>
    </row>
    <row r="43" spans="1:7" ht="19.8">
      <c r="A43" s="67">
        <v>38</v>
      </c>
      <c r="B43" s="120" t="s">
        <v>623</v>
      </c>
      <c r="C43" s="123">
        <v>37</v>
      </c>
      <c r="D43" s="123">
        <f>('B462'!E9*100/30/2)+1</f>
        <v>171</v>
      </c>
      <c r="E43" s="123">
        <f>'B462'!D9*2</f>
        <v>8</v>
      </c>
      <c r="F43" s="281" t="s">
        <v>1275</v>
      </c>
      <c r="G43" s="123">
        <f>IF(F43="UV2892AD/0.15mm",'B52'!$K$41,'B52'!$K$42)</f>
        <v>3</v>
      </c>
    </row>
    <row r="44" spans="1:7" ht="19.8">
      <c r="A44" s="67">
        <v>39</v>
      </c>
      <c r="B44" s="120" t="s">
        <v>625</v>
      </c>
      <c r="C44" s="123">
        <v>7</v>
      </c>
      <c r="D44" s="123">
        <f>('B462'!E9*100/30/2)+1</f>
        <v>171</v>
      </c>
      <c r="E44" s="123">
        <f>'B462'!D9*2</f>
        <v>8</v>
      </c>
      <c r="F44" s="281" t="s">
        <v>1276</v>
      </c>
      <c r="G44" s="123">
        <f>IF(F44="UV2892AD/0.15mm",'B52'!$K$41,'B52'!$K$42)</f>
        <v>3</v>
      </c>
    </row>
    <row r="45" spans="1:7" ht="19.8">
      <c r="A45" s="67">
        <v>40</v>
      </c>
      <c r="B45" s="120" t="s">
        <v>625</v>
      </c>
      <c r="C45" s="123">
        <v>6</v>
      </c>
      <c r="D45" s="123">
        <f>('B462'!E9*100/30/2)+1</f>
        <v>171</v>
      </c>
      <c r="E45" s="123">
        <f>'B462'!D9*2</f>
        <v>8</v>
      </c>
      <c r="F45" s="281" t="s">
        <v>1275</v>
      </c>
      <c r="G45" s="123">
        <f>IF(F45="UV2892AD/0.15mm",'B52'!$K$41,'B52'!$K$42)</f>
        <v>3</v>
      </c>
    </row>
    <row r="46" spans="1:7" ht="19.8">
      <c r="A46" s="67">
        <v>41</v>
      </c>
      <c r="B46" s="120" t="s">
        <v>626</v>
      </c>
      <c r="C46" s="123">
        <v>22</v>
      </c>
      <c r="D46" s="123">
        <v>55</v>
      </c>
      <c r="E46" s="123">
        <v>2</v>
      </c>
      <c r="F46" s="281" t="s">
        <v>1275</v>
      </c>
      <c r="G46" s="123">
        <f>IF(F46="UV2892AD/0.15mm",'B52'!$K$41,'B52'!$K$42)</f>
        <v>3</v>
      </c>
    </row>
    <row r="47" spans="1:7" ht="19.8">
      <c r="A47" s="67">
        <v>42</v>
      </c>
      <c r="B47" s="120" t="s">
        <v>627</v>
      </c>
      <c r="C47" s="123">
        <v>12</v>
      </c>
      <c r="D47" s="123">
        <v>12</v>
      </c>
      <c r="E47" s="123">
        <v>6</v>
      </c>
      <c r="F47" s="281" t="s">
        <v>1275</v>
      </c>
      <c r="G47" s="123">
        <f>IF(F47="UV2892AD/0.15mm",'B52'!$K$41,'B52'!$K$42)</f>
        <v>3</v>
      </c>
    </row>
    <row r="48" spans="1:7" ht="19.8">
      <c r="A48" s="67">
        <v>43</v>
      </c>
      <c r="B48" s="120" t="s">
        <v>628</v>
      </c>
      <c r="C48" s="123">
        <v>6</v>
      </c>
      <c r="D48" s="123">
        <v>18</v>
      </c>
      <c r="E48" s="123">
        <v>4</v>
      </c>
      <c r="F48" s="281" t="s">
        <v>1275</v>
      </c>
      <c r="G48" s="123">
        <f>IF(F48="UV2892AD/0.15mm",'B52'!$K$41,'B52'!$K$42)</f>
        <v>3</v>
      </c>
    </row>
    <row r="49" spans="1:7" ht="22.2">
      <c r="A49" s="67">
        <v>44</v>
      </c>
      <c r="B49" s="369" t="s">
        <v>635</v>
      </c>
      <c r="C49" s="409"/>
      <c r="D49" s="409"/>
      <c r="E49" s="409"/>
      <c r="F49" s="409"/>
      <c r="G49" s="370"/>
    </row>
    <row r="50" spans="1:7" ht="22.2">
      <c r="A50" s="67">
        <v>45</v>
      </c>
      <c r="B50" s="128">
        <v>1</v>
      </c>
      <c r="C50" s="402" t="s">
        <v>636</v>
      </c>
      <c r="D50" s="402"/>
      <c r="E50" s="402"/>
      <c r="F50" s="402"/>
      <c r="G50" s="403"/>
    </row>
    <row r="51" spans="1:7" ht="22.2">
      <c r="A51" s="67">
        <v>46</v>
      </c>
      <c r="B51" s="128">
        <v>2</v>
      </c>
      <c r="C51" s="402"/>
      <c r="D51" s="402"/>
      <c r="E51" s="402"/>
      <c r="F51" s="402"/>
      <c r="G51" s="403"/>
    </row>
    <row r="52" spans="1:7" ht="22.2">
      <c r="A52" s="119"/>
      <c r="B52" s="119"/>
      <c r="C52" s="119"/>
    </row>
    <row r="53" spans="1:7" ht="22.2">
      <c r="A53" s="119"/>
      <c r="B53" s="119"/>
      <c r="C53" s="119"/>
    </row>
    <row r="54" spans="1:7" ht="22.2">
      <c r="A54" s="119"/>
      <c r="B54" s="119"/>
      <c r="C54" s="119"/>
    </row>
    <row r="55" spans="1:7" ht="22.2">
      <c r="A55" s="119"/>
      <c r="B55" s="119"/>
      <c r="C55" s="119"/>
    </row>
  </sheetData>
  <mergeCells count="17">
    <mergeCell ref="A1:B1"/>
    <mergeCell ref="B10:G10"/>
    <mergeCell ref="B14:G14"/>
    <mergeCell ref="B24:G24"/>
    <mergeCell ref="C31:D31"/>
    <mergeCell ref="A3:B3"/>
    <mergeCell ref="E3:F3"/>
    <mergeCell ref="A4:G4"/>
    <mergeCell ref="C6:G6"/>
    <mergeCell ref="C7:G7"/>
    <mergeCell ref="C8:G8"/>
    <mergeCell ref="C9:G9"/>
    <mergeCell ref="C50:G50"/>
    <mergeCell ref="C51:G51"/>
    <mergeCell ref="B36:G36"/>
    <mergeCell ref="B41:G41"/>
    <mergeCell ref="B49:G49"/>
  </mergeCells>
  <phoneticPr fontId="1" type="noConversion"/>
  <dataValidations count="1">
    <dataValidation type="list" allowBlank="1" showInputMessage="1" showErrorMessage="1" sqref="F43:F48">
      <formula1>"UV2892AD/0.15mm,UV2992AD/0.18mm"</formula1>
    </dataValidation>
  </dataValidations>
  <pageMargins left="0.7" right="0.7" top="0.75" bottom="0.75" header="0.3" footer="0.3"/>
  <pageSetup paperSize="9" orientation="portrait" horizontalDpi="1200" verticalDpi="12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
  <sheetViews>
    <sheetView topLeftCell="A40" workbookViewId="0">
      <selection activeCell="F56" sqref="F56"/>
    </sheetView>
  </sheetViews>
  <sheetFormatPr defaultRowHeight="16.2"/>
  <cols>
    <col min="1" max="1" width="7.21875" bestFit="1" customWidth="1"/>
    <col min="2" max="2" width="28.21875" customWidth="1"/>
    <col min="3" max="3" width="20.109375" bestFit="1" customWidth="1"/>
    <col min="4" max="4" width="16.77734375" bestFit="1" customWidth="1"/>
    <col min="5" max="5" width="20.33203125" bestFit="1" customWidth="1"/>
    <col min="6" max="6" width="23" bestFit="1" customWidth="1"/>
    <col min="7" max="7" width="23.88671875" bestFit="1" customWidth="1"/>
  </cols>
  <sheetData>
    <row r="1" spans="1:7" ht="22.2">
      <c r="A1" s="378" t="s">
        <v>963</v>
      </c>
      <c r="B1" s="378"/>
      <c r="C1" s="108"/>
    </row>
    <row r="2" spans="1:7" ht="22.2">
      <c r="A2" s="139"/>
      <c r="B2" s="139"/>
      <c r="C2" s="139"/>
    </row>
    <row r="3" spans="1:7" ht="19.8">
      <c r="A3" s="295" t="s">
        <v>528</v>
      </c>
      <c r="B3" s="297"/>
      <c r="C3" s="142" t="str">
        <f>'B11'!C3</f>
        <v>洪培峯</v>
      </c>
      <c r="D3" s="39" t="s">
        <v>529</v>
      </c>
      <c r="E3" s="400" t="str">
        <f>'B11'!E3</f>
        <v>0936432078</v>
      </c>
      <c r="F3" s="401"/>
      <c r="G3" s="135"/>
    </row>
    <row r="4" spans="1:7" ht="19.8">
      <c r="A4" s="295" t="s">
        <v>310</v>
      </c>
      <c r="B4" s="296"/>
      <c r="C4" s="296"/>
      <c r="D4" s="296"/>
      <c r="E4" s="296"/>
      <c r="F4" s="296"/>
      <c r="G4" s="297"/>
    </row>
    <row r="5" spans="1:7" ht="19.8">
      <c r="A5" s="134" t="s">
        <v>89</v>
      </c>
      <c r="B5" s="39" t="s">
        <v>247</v>
      </c>
      <c r="C5" s="277" t="s">
        <v>309</v>
      </c>
      <c r="D5" s="277"/>
      <c r="E5" s="277"/>
      <c r="F5" s="278" t="s">
        <v>1234</v>
      </c>
      <c r="G5" s="123">
        <f>'B47'!I6/'B11'!C29</f>
        <v>2596.6920122470469</v>
      </c>
    </row>
    <row r="6" spans="1:7" ht="19.8">
      <c r="A6" s="67">
        <v>1</v>
      </c>
      <c r="B6" s="39" t="s">
        <v>303</v>
      </c>
      <c r="C6" s="397" t="str">
        <f>'B11'!C6</f>
        <v>嘉義縣</v>
      </c>
      <c r="D6" s="398"/>
      <c r="E6" s="398"/>
      <c r="F6" s="398"/>
      <c r="G6" s="399"/>
    </row>
    <row r="7" spans="1:7" ht="19.8">
      <c r="A7" s="67">
        <v>2</v>
      </c>
      <c r="B7" s="39" t="s">
        <v>304</v>
      </c>
      <c r="C7" s="397" t="str">
        <f>'B11'!C7</f>
        <v>太保市</v>
      </c>
      <c r="D7" s="398"/>
      <c r="E7" s="398"/>
      <c r="F7" s="398"/>
      <c r="G7" s="399"/>
    </row>
    <row r="8" spans="1:7" ht="19.8">
      <c r="A8" s="67">
        <v>3</v>
      </c>
      <c r="B8" s="39" t="s">
        <v>305</v>
      </c>
      <c r="C8" s="397" t="str">
        <f>'B11'!C8</f>
        <v>嘉義縣太保市新埤段新埤小段837地號</v>
      </c>
      <c r="D8" s="398"/>
      <c r="E8" s="398"/>
      <c r="F8" s="398"/>
      <c r="G8" s="399"/>
    </row>
    <row r="9" spans="1:7" ht="19.8">
      <c r="A9" s="67">
        <v>4</v>
      </c>
      <c r="B9" s="105" t="s">
        <v>557</v>
      </c>
      <c r="C9" s="404" t="str">
        <f>'B11'!C9</f>
        <v>23.483095, 120.338510</v>
      </c>
      <c r="D9" s="405"/>
      <c r="E9" s="405"/>
      <c r="F9" s="405"/>
      <c r="G9" s="406"/>
    </row>
    <row r="10" spans="1:7" ht="19.8">
      <c r="A10" s="67">
        <v>5</v>
      </c>
      <c r="B10" s="295" t="s">
        <v>558</v>
      </c>
      <c r="C10" s="296"/>
      <c r="D10" s="296"/>
      <c r="E10" s="296"/>
      <c r="F10" s="296"/>
      <c r="G10" s="297"/>
    </row>
    <row r="11" spans="1:7" ht="19.8">
      <c r="A11" s="67">
        <v>6</v>
      </c>
      <c r="B11" s="105" t="s">
        <v>84</v>
      </c>
      <c r="C11" s="124" t="s">
        <v>649</v>
      </c>
      <c r="D11" s="134" t="s">
        <v>559</v>
      </c>
      <c r="E11" s="66">
        <f>'B11'!C26</f>
        <v>22.6</v>
      </c>
      <c r="F11" s="134" t="s">
        <v>560</v>
      </c>
      <c r="G11" s="66">
        <f>'B11'!C27</f>
        <v>102</v>
      </c>
    </row>
    <row r="12" spans="1:7" ht="19.8">
      <c r="A12" s="67">
        <v>7</v>
      </c>
      <c r="B12" s="105" t="s">
        <v>562</v>
      </c>
      <c r="C12" s="66">
        <f>'B463'!B9</f>
        <v>565</v>
      </c>
      <c r="D12" s="134" t="s">
        <v>88</v>
      </c>
      <c r="E12" s="66">
        <f>'B463'!D9</f>
        <v>4</v>
      </c>
      <c r="F12" s="134" t="s">
        <v>564</v>
      </c>
      <c r="G12" s="125">
        <f>'B463'!E11</f>
        <v>698.54545454545462</v>
      </c>
    </row>
    <row r="13" spans="1:7" ht="19.8">
      <c r="A13" s="67">
        <v>8</v>
      </c>
      <c r="B13" s="105" t="s">
        <v>291</v>
      </c>
      <c r="C13" s="66">
        <f>'B463'!B11</f>
        <v>550</v>
      </c>
      <c r="D13" s="96" t="s">
        <v>479</v>
      </c>
      <c r="E13" s="66">
        <f>'B463'!C11</f>
        <v>240</v>
      </c>
      <c r="F13" s="96" t="s">
        <v>480</v>
      </c>
      <c r="G13" s="66">
        <f>'B463'!D11</f>
        <v>310</v>
      </c>
    </row>
    <row r="14" spans="1:7" ht="19.8">
      <c r="A14" s="67">
        <v>9</v>
      </c>
      <c r="B14" s="295" t="s">
        <v>592</v>
      </c>
      <c r="C14" s="296"/>
      <c r="D14" s="296"/>
      <c r="E14" s="296"/>
      <c r="F14" s="296"/>
      <c r="G14" s="297"/>
    </row>
    <row r="15" spans="1:7" ht="19.8">
      <c r="A15" s="67">
        <v>10</v>
      </c>
      <c r="B15" s="134" t="s">
        <v>593</v>
      </c>
      <c r="C15" s="134" t="s">
        <v>596</v>
      </c>
      <c r="D15" s="134" t="s">
        <v>597</v>
      </c>
      <c r="E15" s="134" t="s">
        <v>593</v>
      </c>
      <c r="F15" s="134" t="s">
        <v>596</v>
      </c>
      <c r="G15" s="134" t="s">
        <v>597</v>
      </c>
    </row>
    <row r="16" spans="1:7" ht="19.8">
      <c r="A16" s="67">
        <v>11</v>
      </c>
      <c r="B16" s="134" t="s">
        <v>594</v>
      </c>
      <c r="C16" s="15">
        <f>'B463'!D17</f>
        <v>510</v>
      </c>
      <c r="D16" s="15">
        <f>'B463'!F17*'B463'!$G$15</f>
        <v>8</v>
      </c>
      <c r="E16" s="134" t="s">
        <v>595</v>
      </c>
      <c r="F16" s="15">
        <f>'B463'!D23</f>
        <v>500</v>
      </c>
      <c r="G16" s="15">
        <f>'B463'!F23*'B463'!$G$15</f>
        <v>16</v>
      </c>
    </row>
    <row r="17" spans="1:7" ht="19.8">
      <c r="A17" s="67">
        <v>12</v>
      </c>
      <c r="B17" s="134" t="s">
        <v>594</v>
      </c>
      <c r="C17" s="15">
        <f>'B463'!D18</f>
        <v>490</v>
      </c>
      <c r="D17" s="15">
        <f>'B463'!F18*'B463'!$G$15</f>
        <v>16</v>
      </c>
      <c r="E17" s="134" t="s">
        <v>595</v>
      </c>
      <c r="F17" s="15">
        <f>'B463'!D31</f>
        <v>900</v>
      </c>
      <c r="G17" s="15">
        <f>'B463'!F31*'B463'!G28</f>
        <v>404</v>
      </c>
    </row>
    <row r="18" spans="1:7" ht="19.8">
      <c r="A18" s="67">
        <v>13</v>
      </c>
      <c r="B18" s="134" t="s">
        <v>594</v>
      </c>
      <c r="C18" s="15">
        <f>'B463'!D19</f>
        <v>450</v>
      </c>
      <c r="D18" s="15">
        <f>'B463'!F19*'B463'!$G$15</f>
        <v>16</v>
      </c>
    </row>
    <row r="19" spans="1:7" ht="19.8">
      <c r="A19" s="67">
        <v>14</v>
      </c>
      <c r="B19" s="134" t="s">
        <v>594</v>
      </c>
      <c r="C19" s="15">
        <f>'B463'!D20</f>
        <v>380</v>
      </c>
      <c r="D19" s="15">
        <f>'B463'!F20*'B463'!$G$15</f>
        <v>16</v>
      </c>
      <c r="E19" s="134" t="s">
        <v>598</v>
      </c>
      <c r="F19" s="15">
        <f>'B463'!D24</f>
        <v>900</v>
      </c>
      <c r="G19" s="15">
        <f>'B463'!F24*'B463'!$G$15</f>
        <v>16</v>
      </c>
    </row>
    <row r="20" spans="1:7" ht="19.8">
      <c r="A20" s="67">
        <v>15</v>
      </c>
      <c r="B20" s="134" t="s">
        <v>594</v>
      </c>
      <c r="C20" s="15">
        <f>'B463'!D21</f>
        <v>240</v>
      </c>
      <c r="D20" s="122">
        <f>'B463'!F21*'B463'!$G$15+'B463'!F34*'B463'!$G$28</f>
        <v>824</v>
      </c>
      <c r="E20" s="134" t="s">
        <v>598</v>
      </c>
      <c r="F20" s="15">
        <f>'B463'!D30</f>
        <v>330</v>
      </c>
      <c r="G20" s="15">
        <f>'B463'!F30*'B463'!$G$28</f>
        <v>404</v>
      </c>
    </row>
    <row r="21" spans="1:7" ht="19.8">
      <c r="A21" s="67">
        <v>16</v>
      </c>
      <c r="B21" s="134" t="s">
        <v>594</v>
      </c>
      <c r="C21" s="122">
        <f>'B463'!D22</f>
        <v>1094.845039776043</v>
      </c>
      <c r="D21" s="15">
        <f>'B463'!F22*'B463'!$G$15+'B463'!F35*'B463'!$G$28</f>
        <v>412</v>
      </c>
      <c r="E21" s="134" t="s">
        <v>598</v>
      </c>
      <c r="F21" s="15">
        <f>'B463'!D32</f>
        <v>100</v>
      </c>
      <c r="G21" s="15">
        <f>'B463'!F32*'B463'!$G$28+'B463'!F33*'B463'!$G$28</f>
        <v>3838</v>
      </c>
    </row>
    <row r="22" spans="1:7" ht="19.8">
      <c r="A22" s="67">
        <v>17</v>
      </c>
      <c r="B22" s="134" t="s">
        <v>593</v>
      </c>
      <c r="C22" s="134" t="s">
        <v>596</v>
      </c>
      <c r="D22" s="134" t="s">
        <v>597</v>
      </c>
      <c r="E22" s="134" t="s">
        <v>593</v>
      </c>
      <c r="F22" s="134" t="s">
        <v>596</v>
      </c>
      <c r="G22" s="134" t="s">
        <v>597</v>
      </c>
    </row>
    <row r="23" spans="1:7" ht="19.8">
      <c r="A23" s="67">
        <v>18</v>
      </c>
      <c r="B23" s="127" t="s">
        <v>613</v>
      </c>
      <c r="C23" s="123">
        <v>800</v>
      </c>
      <c r="D23" s="123">
        <f>(D16*C16+D17*C17+D18*C18+D19*C19+D20*C20+D21*C21)/C23</f>
        <v>842.54519548466214</v>
      </c>
      <c r="E23" s="127" t="s">
        <v>615</v>
      </c>
      <c r="F23" s="66">
        <v>800</v>
      </c>
      <c r="G23" s="123">
        <f>(G16*F16+G17*F17)/F23</f>
        <v>464.5</v>
      </c>
    </row>
    <row r="24" spans="1:7" ht="19.8">
      <c r="A24" s="67">
        <v>19</v>
      </c>
      <c r="B24" s="127" t="s">
        <v>614</v>
      </c>
      <c r="C24" s="123">
        <v>800</v>
      </c>
      <c r="D24" s="123">
        <f>((G19*F19)+(G20*F20)+(G21*F21))/C24</f>
        <v>664.4</v>
      </c>
      <c r="E24" s="127" t="s">
        <v>616</v>
      </c>
      <c r="F24" s="66">
        <v>800</v>
      </c>
      <c r="G24" s="123">
        <v>0</v>
      </c>
    </row>
    <row r="25" spans="1:7" ht="19.8">
      <c r="A25" s="67">
        <v>20</v>
      </c>
      <c r="B25" s="295" t="s">
        <v>599</v>
      </c>
      <c r="C25" s="296"/>
      <c r="D25" s="296"/>
      <c r="E25" s="296"/>
      <c r="F25" s="296"/>
      <c r="G25" s="297"/>
    </row>
    <row r="26" spans="1:7" ht="19.8">
      <c r="A26" s="67">
        <v>21</v>
      </c>
      <c r="B26" s="134" t="s">
        <v>608</v>
      </c>
      <c r="C26" s="134" t="s">
        <v>596</v>
      </c>
      <c r="D26" s="134" t="s">
        <v>597</v>
      </c>
      <c r="E26" s="109"/>
      <c r="F26" s="109"/>
      <c r="G26" s="109"/>
    </row>
    <row r="27" spans="1:7" ht="19.8">
      <c r="A27" s="67">
        <v>22</v>
      </c>
      <c r="B27" s="134" t="s">
        <v>604</v>
      </c>
      <c r="C27" s="15">
        <v>600</v>
      </c>
      <c r="D27" s="122">
        <f>(('B463'!F22*'B463'!$G$15*'B463'!D22)+('B463'!F35*'B463'!$G$28*'B463'!D35)/3)/C27</f>
        <v>260.32982056897021</v>
      </c>
      <c r="E27" s="109"/>
      <c r="F27" s="109"/>
      <c r="G27" s="109"/>
    </row>
    <row r="28" spans="1:7" ht="19.8">
      <c r="A28" s="67">
        <v>23</v>
      </c>
      <c r="B28" s="134" t="s">
        <v>605</v>
      </c>
      <c r="C28" s="15">
        <v>600</v>
      </c>
      <c r="D28" s="122">
        <f>('B463'!$G$28*4*100)/C28</f>
        <v>67.333333333333329</v>
      </c>
      <c r="E28" s="109"/>
      <c r="F28" s="109"/>
      <c r="G28" s="109"/>
    </row>
    <row r="29" spans="1:7" ht="19.8">
      <c r="A29" s="67">
        <v>24</v>
      </c>
      <c r="B29" s="134" t="s">
        <v>606</v>
      </c>
      <c r="C29" s="15">
        <v>800</v>
      </c>
      <c r="D29" s="122">
        <f>(4*'B463'!$G$15*'B463'!D24)/C29</f>
        <v>9</v>
      </c>
      <c r="E29" s="134"/>
      <c r="F29" s="134"/>
      <c r="G29" s="116"/>
    </row>
    <row r="30" spans="1:7" ht="19.8">
      <c r="A30" s="67">
        <v>25</v>
      </c>
      <c r="B30" s="134" t="s">
        <v>608</v>
      </c>
      <c r="C30" s="134" t="s">
        <v>596</v>
      </c>
      <c r="D30" s="134" t="s">
        <v>597</v>
      </c>
      <c r="E30" s="134" t="s">
        <v>608</v>
      </c>
      <c r="F30" s="134" t="s">
        <v>596</v>
      </c>
      <c r="G30" s="134" t="s">
        <v>597</v>
      </c>
    </row>
    <row r="31" spans="1:7" ht="19.8">
      <c r="A31" s="67">
        <v>26</v>
      </c>
      <c r="B31" s="127" t="s">
        <v>607</v>
      </c>
      <c r="C31" s="123">
        <v>600</v>
      </c>
      <c r="D31" s="123">
        <f>(D27*C27+D28*C28+D29*C29)/C31</f>
        <v>339.66315390230358</v>
      </c>
      <c r="E31" s="127" t="s">
        <v>103</v>
      </c>
      <c r="F31" s="66">
        <v>400</v>
      </c>
      <c r="G31" s="123">
        <f>('B463'!$G$28+1)*('B463'!E28+1)*100/F31</f>
        <v>127.5</v>
      </c>
    </row>
    <row r="32" spans="1:7" ht="19.8">
      <c r="A32" s="67">
        <v>27</v>
      </c>
      <c r="B32" s="127" t="s">
        <v>603</v>
      </c>
      <c r="C32" s="407" t="str">
        <f>'B11'!C35</f>
        <v>白鐵</v>
      </c>
      <c r="D32" s="408"/>
      <c r="E32" s="134"/>
      <c r="F32" s="134"/>
      <c r="G32" s="134"/>
    </row>
    <row r="33" spans="1:7" ht="19.8">
      <c r="A33" s="67">
        <v>28</v>
      </c>
      <c r="B33" s="134" t="s">
        <v>608</v>
      </c>
      <c r="C33" s="134" t="s">
        <v>612</v>
      </c>
      <c r="D33" s="134" t="s">
        <v>608</v>
      </c>
      <c r="E33" s="134" t="s">
        <v>612</v>
      </c>
      <c r="F33" s="134" t="s">
        <v>608</v>
      </c>
      <c r="G33" s="134" t="s">
        <v>612</v>
      </c>
    </row>
    <row r="34" spans="1:7" ht="19.8">
      <c r="A34" s="67">
        <v>29</v>
      </c>
      <c r="B34" s="127" t="s">
        <v>611</v>
      </c>
      <c r="C34" s="123">
        <f>'B463'!F13*('B463'!D9+1)</f>
        <v>110</v>
      </c>
      <c r="D34" s="127" t="s">
        <v>634</v>
      </c>
      <c r="E34" s="123">
        <v>12</v>
      </c>
      <c r="F34" s="66"/>
      <c r="G34" s="123"/>
    </row>
    <row r="35" spans="1:7" ht="19.8">
      <c r="A35" s="67">
        <v>30</v>
      </c>
      <c r="B35" s="134" t="s">
        <v>608</v>
      </c>
      <c r="C35" s="134" t="s">
        <v>612</v>
      </c>
      <c r="D35" s="134" t="s">
        <v>608</v>
      </c>
      <c r="E35" s="134" t="s">
        <v>612</v>
      </c>
      <c r="F35" s="134" t="s">
        <v>608</v>
      </c>
      <c r="G35" s="134" t="s">
        <v>612</v>
      </c>
    </row>
    <row r="36" spans="1:7" ht="19.8">
      <c r="A36" s="67">
        <v>31</v>
      </c>
      <c r="B36" s="127"/>
      <c r="C36" s="123"/>
      <c r="D36" s="127"/>
      <c r="E36" s="123"/>
      <c r="F36" s="66"/>
      <c r="G36" s="123"/>
    </row>
    <row r="37" spans="1:7" ht="19.8">
      <c r="A37" s="67">
        <v>32</v>
      </c>
      <c r="B37" s="295" t="s">
        <v>620</v>
      </c>
      <c r="C37" s="296"/>
      <c r="D37" s="296"/>
      <c r="E37" s="296"/>
      <c r="F37" s="296"/>
      <c r="G37" s="297"/>
    </row>
    <row r="38" spans="1:7" ht="19.8">
      <c r="A38" s="67">
        <v>33</v>
      </c>
      <c r="B38" s="134" t="s">
        <v>621</v>
      </c>
      <c r="C38" s="134" t="s">
        <v>618</v>
      </c>
      <c r="D38" s="134" t="s">
        <v>612</v>
      </c>
      <c r="E38" s="134" t="s">
        <v>621</v>
      </c>
      <c r="F38" s="134" t="s">
        <v>618</v>
      </c>
      <c r="G38" s="134" t="s">
        <v>612</v>
      </c>
    </row>
    <row r="39" spans="1:7" ht="19.8">
      <c r="A39" s="67">
        <v>34</v>
      </c>
      <c r="B39" s="127" t="s">
        <v>619</v>
      </c>
      <c r="C39" s="123">
        <f>'B463'!E9*100/30</f>
        <v>340</v>
      </c>
      <c r="D39" s="123">
        <f>'B463'!D9</f>
        <v>4</v>
      </c>
      <c r="E39" s="127" t="s">
        <v>631</v>
      </c>
      <c r="F39" s="123">
        <f>'B463'!E9*100/30</f>
        <v>340</v>
      </c>
      <c r="G39" s="123">
        <f>'B463'!D9</f>
        <v>4</v>
      </c>
    </row>
    <row r="40" spans="1:7" ht="19.8">
      <c r="A40" s="67">
        <v>35</v>
      </c>
      <c r="B40" s="127" t="s">
        <v>630</v>
      </c>
      <c r="C40" s="123">
        <f>'B463'!E9</f>
        <v>102</v>
      </c>
      <c r="D40" s="123">
        <f>'B463'!D9</f>
        <v>4</v>
      </c>
      <c r="E40" s="127" t="s">
        <v>632</v>
      </c>
      <c r="F40" s="123">
        <v>55</v>
      </c>
      <c r="G40" s="123">
        <f>'B463'!D9</f>
        <v>4</v>
      </c>
    </row>
    <row r="41" spans="1:7" ht="19.8">
      <c r="A41" s="67">
        <v>36</v>
      </c>
      <c r="B41" s="127" t="s">
        <v>629</v>
      </c>
      <c r="C41" s="123">
        <v>37</v>
      </c>
      <c r="D41" s="123">
        <f>('B463'!E9*3.3/C41)+1</f>
        <v>10.097297297297297</v>
      </c>
      <c r="E41" s="127" t="s">
        <v>633</v>
      </c>
      <c r="F41" s="123">
        <v>12</v>
      </c>
      <c r="G41" s="123">
        <v>7</v>
      </c>
    </row>
    <row r="42" spans="1:7" ht="19.8">
      <c r="A42" s="67">
        <v>37</v>
      </c>
      <c r="B42" s="295" t="s">
        <v>622</v>
      </c>
      <c r="C42" s="296"/>
      <c r="D42" s="296"/>
      <c r="E42" s="296"/>
      <c r="F42" s="296"/>
      <c r="G42" s="297"/>
    </row>
    <row r="43" spans="1:7" ht="19.8">
      <c r="A43" s="67">
        <v>38</v>
      </c>
      <c r="B43" s="134" t="s">
        <v>247</v>
      </c>
      <c r="C43" s="134" t="s">
        <v>624</v>
      </c>
      <c r="D43" s="134" t="s">
        <v>618</v>
      </c>
      <c r="E43" s="134" t="s">
        <v>612</v>
      </c>
      <c r="F43" s="279" t="s">
        <v>1272</v>
      </c>
      <c r="G43" s="279" t="s">
        <v>1274</v>
      </c>
    </row>
    <row r="44" spans="1:7" ht="19.8">
      <c r="A44" s="67">
        <v>39</v>
      </c>
      <c r="B44" s="134" t="s">
        <v>623</v>
      </c>
      <c r="C44" s="123">
        <v>37</v>
      </c>
      <c r="D44" s="123">
        <f>('B463'!E9*100/30/2)+1</f>
        <v>171</v>
      </c>
      <c r="E44" s="123">
        <f>'B463'!D9*2</f>
        <v>8</v>
      </c>
      <c r="F44" s="281" t="s">
        <v>1275</v>
      </c>
      <c r="G44" s="123">
        <f>IF(F44="UV2892AD/0.15mm",'B52'!$K$41,'B52'!$K$42)</f>
        <v>3</v>
      </c>
    </row>
    <row r="45" spans="1:7" ht="19.8">
      <c r="A45" s="67">
        <v>40</v>
      </c>
      <c r="B45" s="134" t="s">
        <v>625</v>
      </c>
      <c r="C45" s="123">
        <v>7</v>
      </c>
      <c r="D45" s="123">
        <f>('B463'!E9*100/30/2)+1</f>
        <v>171</v>
      </c>
      <c r="E45" s="123">
        <f>'B463'!D9*2</f>
        <v>8</v>
      </c>
      <c r="F45" s="281" t="s">
        <v>1276</v>
      </c>
      <c r="G45" s="123">
        <f>IF(F45="UV2892AD/0.15mm",'B52'!$K$41,'B52'!$K$42)</f>
        <v>3</v>
      </c>
    </row>
    <row r="46" spans="1:7" ht="19.8">
      <c r="A46" s="67">
        <v>41</v>
      </c>
      <c r="B46" s="134" t="s">
        <v>625</v>
      </c>
      <c r="C46" s="123">
        <v>6</v>
      </c>
      <c r="D46" s="123">
        <f>('B463'!E9*100/30/2)+1</f>
        <v>171</v>
      </c>
      <c r="E46" s="123">
        <f>'B463'!D9*2</f>
        <v>8</v>
      </c>
      <c r="F46" s="281" t="s">
        <v>1275</v>
      </c>
      <c r="G46" s="123">
        <f>IF(F46="UV2892AD/0.15mm",'B52'!$K$41,'B52'!$K$42)</f>
        <v>3</v>
      </c>
    </row>
    <row r="47" spans="1:7" ht="19.8">
      <c r="A47" s="67">
        <v>42</v>
      </c>
      <c r="B47" s="134" t="s">
        <v>626</v>
      </c>
      <c r="C47" s="123">
        <v>22</v>
      </c>
      <c r="D47" s="123">
        <v>55</v>
      </c>
      <c r="E47" s="123">
        <v>2</v>
      </c>
      <c r="F47" s="281" t="s">
        <v>1275</v>
      </c>
      <c r="G47" s="123">
        <f>IF(F47="UV2892AD/0.15mm",'B52'!$K$41,'B52'!$K$42)</f>
        <v>3</v>
      </c>
    </row>
    <row r="48" spans="1:7" ht="19.8">
      <c r="A48" s="67">
        <v>43</v>
      </c>
      <c r="B48" s="134" t="s">
        <v>627</v>
      </c>
      <c r="C48" s="123">
        <v>12</v>
      </c>
      <c r="D48" s="123">
        <v>12</v>
      </c>
      <c r="E48" s="123">
        <v>6</v>
      </c>
      <c r="F48" s="281" t="s">
        <v>1275</v>
      </c>
      <c r="G48" s="123">
        <f>IF(F48="UV2892AD/0.15mm",'B52'!$K$41,'B52'!$K$42)</f>
        <v>3</v>
      </c>
    </row>
    <row r="49" spans="1:7" ht="19.8">
      <c r="A49" s="67">
        <v>44</v>
      </c>
      <c r="B49" s="134" t="s">
        <v>628</v>
      </c>
      <c r="C49" s="123">
        <v>6</v>
      </c>
      <c r="D49" s="123">
        <v>18</v>
      </c>
      <c r="E49" s="123">
        <v>4</v>
      </c>
      <c r="F49" s="281" t="s">
        <v>1275</v>
      </c>
      <c r="G49" s="123">
        <f>IF(F49="UV2892AD/0.15mm",'B52'!$K$41,'B52'!$K$42)</f>
        <v>3</v>
      </c>
    </row>
    <row r="50" spans="1:7" ht="22.2">
      <c r="A50" s="67">
        <v>45</v>
      </c>
      <c r="B50" s="369" t="s">
        <v>635</v>
      </c>
      <c r="C50" s="409"/>
      <c r="D50" s="409"/>
      <c r="E50" s="409"/>
      <c r="F50" s="409"/>
      <c r="G50" s="370"/>
    </row>
    <row r="51" spans="1:7" ht="22.2">
      <c r="A51" s="67">
        <v>46</v>
      </c>
      <c r="B51" s="128">
        <v>1</v>
      </c>
      <c r="C51" s="402" t="s">
        <v>636</v>
      </c>
      <c r="D51" s="402"/>
      <c r="E51" s="402"/>
      <c r="F51" s="402"/>
      <c r="G51" s="403"/>
    </row>
    <row r="52" spans="1:7" ht="22.2">
      <c r="A52" s="67">
        <v>47</v>
      </c>
      <c r="B52" s="128">
        <v>2</v>
      </c>
      <c r="C52" s="402"/>
      <c r="D52" s="402"/>
      <c r="E52" s="402"/>
      <c r="F52" s="402"/>
      <c r="G52" s="403"/>
    </row>
    <row r="53" spans="1:7" ht="22.2">
      <c r="A53" s="139"/>
      <c r="B53" s="139"/>
      <c r="C53" s="139"/>
    </row>
    <row r="54" spans="1:7" ht="22.2">
      <c r="A54" s="139"/>
      <c r="B54" s="139"/>
      <c r="C54" s="139"/>
    </row>
    <row r="55" spans="1:7" ht="22.2">
      <c r="A55" s="139"/>
      <c r="B55" s="139"/>
      <c r="C55" s="139"/>
    </row>
    <row r="56" spans="1:7" ht="22.2">
      <c r="A56" s="139"/>
      <c r="B56" s="139"/>
      <c r="C56" s="139"/>
    </row>
  </sheetData>
  <mergeCells count="17">
    <mergeCell ref="C52:G52"/>
    <mergeCell ref="C7:G7"/>
    <mergeCell ref="C8:G8"/>
    <mergeCell ref="C9:G9"/>
    <mergeCell ref="B10:G10"/>
    <mergeCell ref="B14:G14"/>
    <mergeCell ref="B25:G25"/>
    <mergeCell ref="C32:D32"/>
    <mergeCell ref="B37:G37"/>
    <mergeCell ref="B42:G42"/>
    <mergeCell ref="B50:G50"/>
    <mergeCell ref="C51:G51"/>
    <mergeCell ref="C6:G6"/>
    <mergeCell ref="A1:B1"/>
    <mergeCell ref="A3:B3"/>
    <mergeCell ref="E3:F3"/>
    <mergeCell ref="A4:G4"/>
  </mergeCells>
  <phoneticPr fontId="1" type="noConversion"/>
  <dataValidations count="1">
    <dataValidation type="list" allowBlank="1" showInputMessage="1" showErrorMessage="1" sqref="F44:F49">
      <formula1>"UV2892AD/0.15mm,UV2992AD/0.18mm"</formula1>
    </dataValidation>
  </dataValidations>
  <pageMargins left="0.7" right="0.7" top="0.75" bottom="0.75" header="0.3" footer="0.3"/>
  <pageSetup paperSize="9" orientation="portrait" horizontalDpi="1200" verticalDpi="12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zoomScale="115" zoomScaleNormal="115" workbookViewId="0">
      <selection sqref="A1:B1"/>
    </sheetView>
  </sheetViews>
  <sheetFormatPr defaultRowHeight="16.2"/>
  <cols>
    <col min="1" max="1" width="6.77734375" bestFit="1" customWidth="1"/>
    <col min="2" max="2" width="21.21875" customWidth="1"/>
    <col min="3" max="3" width="14.6640625" bestFit="1" customWidth="1"/>
    <col min="4" max="4" width="15.44140625" customWidth="1"/>
    <col min="5" max="5" width="14.6640625" bestFit="1" customWidth="1"/>
  </cols>
  <sheetData>
    <row r="1" spans="1:3" ht="22.2">
      <c r="A1" s="321" t="s">
        <v>1220</v>
      </c>
      <c r="B1" s="321"/>
      <c r="C1" s="196"/>
    </row>
    <row r="2" spans="1:3" ht="22.2">
      <c r="A2" s="196"/>
      <c r="B2" s="196"/>
      <c r="C2" s="196"/>
    </row>
  </sheetData>
  <mergeCells count="1">
    <mergeCell ref="A1:B1"/>
  </mergeCells>
  <phoneticPr fontId="1" type="noConversion"/>
  <pageMargins left="0.7" right="0.7" top="0.75" bottom="0.75" header="0.3" footer="0.3"/>
  <pageSetup paperSize="9" orientation="portrait" horizontalDpi="1200" verticalDpi="12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zoomScale="115" zoomScaleNormal="115" workbookViewId="0">
      <selection sqref="A1:B1"/>
    </sheetView>
  </sheetViews>
  <sheetFormatPr defaultRowHeight="16.2"/>
  <cols>
    <col min="1" max="1" width="6.77734375" bestFit="1" customWidth="1"/>
    <col min="2" max="2" width="21.21875" customWidth="1"/>
    <col min="3" max="3" width="14.6640625" bestFit="1" customWidth="1"/>
    <col min="4" max="4" width="15.44140625" customWidth="1"/>
    <col min="5" max="5" width="14.6640625" bestFit="1" customWidth="1"/>
  </cols>
  <sheetData>
    <row r="1" spans="1:3" ht="22.2">
      <c r="A1" s="321" t="s">
        <v>1221</v>
      </c>
      <c r="B1" s="321"/>
      <c r="C1" s="196"/>
    </row>
    <row r="2" spans="1:3" ht="22.2">
      <c r="A2" s="196"/>
      <c r="B2" s="196"/>
      <c r="C2" s="196"/>
    </row>
  </sheetData>
  <mergeCells count="1">
    <mergeCell ref="A1:B1"/>
  </mergeCells>
  <phoneticPr fontId="1" type="noConversion"/>
  <pageMargins left="0.7" right="0.7" top="0.75" bottom="0.75" header="0.3" footer="0.3"/>
  <pageSetup paperSize="9" orientation="portrait" horizontalDpi="1200" verticalDpi="12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zoomScale="115" zoomScaleNormal="115" workbookViewId="0">
      <selection sqref="A1:B1"/>
    </sheetView>
  </sheetViews>
  <sheetFormatPr defaultRowHeight="16.2"/>
  <cols>
    <col min="1" max="1" width="6.77734375" bestFit="1" customWidth="1"/>
    <col min="2" max="2" width="21.21875" customWidth="1"/>
    <col min="3" max="3" width="14.6640625" bestFit="1" customWidth="1"/>
    <col min="4" max="4" width="15.44140625" customWidth="1"/>
    <col min="5" max="5" width="14.6640625" bestFit="1" customWidth="1"/>
  </cols>
  <sheetData>
    <row r="1" spans="1:3" ht="22.2">
      <c r="A1" s="321" t="s">
        <v>1217</v>
      </c>
      <c r="B1" s="321"/>
      <c r="C1" s="196"/>
    </row>
    <row r="2" spans="1:3" ht="22.2">
      <c r="A2" s="196"/>
      <c r="B2" s="196"/>
      <c r="C2" s="196"/>
    </row>
  </sheetData>
  <mergeCells count="1">
    <mergeCell ref="A1:B1"/>
  </mergeCells>
  <phoneticPr fontId="1" type="noConversion"/>
  <pageMargins left="0.7" right="0.7" top="0.75" bottom="0.75" header="0.3" footer="0.3"/>
  <pageSetup paperSize="9" orientation="portrait" horizontalDpi="1200" verticalDpi="12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zoomScale="115" zoomScaleNormal="115" workbookViewId="0">
      <selection sqref="A1:B1"/>
    </sheetView>
  </sheetViews>
  <sheetFormatPr defaultRowHeight="16.2"/>
  <cols>
    <col min="1" max="1" width="6.77734375" bestFit="1" customWidth="1"/>
    <col min="2" max="2" width="21.6640625" customWidth="1"/>
    <col min="3" max="3" width="14.6640625" bestFit="1" customWidth="1"/>
    <col min="4" max="4" width="15.44140625" customWidth="1"/>
    <col min="5" max="5" width="14.6640625" bestFit="1" customWidth="1"/>
  </cols>
  <sheetData>
    <row r="1" spans="1:3" ht="22.2">
      <c r="A1" s="321" t="s">
        <v>1218</v>
      </c>
      <c r="B1" s="321"/>
      <c r="C1" s="196"/>
    </row>
    <row r="2" spans="1:3" ht="22.2">
      <c r="A2" s="196">
        <v>0</v>
      </c>
      <c r="B2" s="196"/>
      <c r="C2" s="196"/>
    </row>
  </sheetData>
  <mergeCells count="1">
    <mergeCell ref="A1:B1"/>
  </mergeCells>
  <phoneticPr fontId="1" type="noConversion"/>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48</vt:i4>
      </vt:variant>
    </vt:vector>
  </HeadingPairs>
  <TitlesOfParts>
    <vt:vector size="48" baseType="lpstr">
      <vt:lpstr>B</vt:lpstr>
      <vt:lpstr>B11</vt:lpstr>
      <vt:lpstr>B21</vt:lpstr>
      <vt:lpstr>B211</vt:lpstr>
      <vt:lpstr>B212</vt:lpstr>
      <vt:lpstr>B213</vt:lpstr>
      <vt:lpstr>B22</vt:lpstr>
      <vt:lpstr>B221</vt:lpstr>
      <vt:lpstr>B222</vt:lpstr>
      <vt:lpstr>台南市</vt:lpstr>
      <vt:lpstr>B23</vt:lpstr>
      <vt:lpstr>B24</vt:lpstr>
      <vt:lpstr>B2411</vt:lpstr>
      <vt:lpstr>B2412</vt:lpstr>
      <vt:lpstr>B2413</vt:lpstr>
      <vt:lpstr>B2421</vt:lpstr>
      <vt:lpstr>B31</vt:lpstr>
      <vt:lpstr>B311</vt:lpstr>
      <vt:lpstr>B312</vt:lpstr>
      <vt:lpstr>B313</vt:lpstr>
      <vt:lpstr>B32</vt:lpstr>
      <vt:lpstr>B321</vt:lpstr>
      <vt:lpstr>B322</vt:lpstr>
      <vt:lpstr>B41</vt:lpstr>
      <vt:lpstr>B42</vt:lpstr>
      <vt:lpstr>B43</vt:lpstr>
      <vt:lpstr>B44</vt:lpstr>
      <vt:lpstr>B441</vt:lpstr>
      <vt:lpstr>B442</vt:lpstr>
      <vt:lpstr>B443</vt:lpstr>
      <vt:lpstr>B45</vt:lpstr>
      <vt:lpstr>B46</vt:lpstr>
      <vt:lpstr>B461</vt:lpstr>
      <vt:lpstr>B462</vt:lpstr>
      <vt:lpstr>B463</vt:lpstr>
      <vt:lpstr>B464</vt:lpstr>
      <vt:lpstr>B47</vt:lpstr>
      <vt:lpstr>B51</vt:lpstr>
      <vt:lpstr>B52</vt:lpstr>
      <vt:lpstr>B53</vt:lpstr>
      <vt:lpstr>B54</vt:lpstr>
      <vt:lpstr>B541</vt:lpstr>
      <vt:lpstr>B542</vt:lpstr>
      <vt:lpstr>B543</vt:lpstr>
      <vt:lpstr>B51102</vt:lpstr>
      <vt:lpstr>B51202</vt:lpstr>
      <vt:lpstr>B51110</vt:lpstr>
      <vt:lpstr>B51210</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Yang</dc:creator>
  <cp:lastModifiedBy>鄭伊芬</cp:lastModifiedBy>
  <cp:lastPrinted>2017-11-20T02:10:12Z</cp:lastPrinted>
  <dcterms:created xsi:type="dcterms:W3CDTF">2017-11-03T23:53:51Z</dcterms:created>
  <dcterms:modified xsi:type="dcterms:W3CDTF">2020-09-29T05:48:17Z</dcterms:modified>
</cp:coreProperties>
</file>