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vieux\OUTILSDEGESTIONETDESOUTIEN\"/>
    </mc:Choice>
  </mc:AlternateContent>
  <xr:revisionPtr revIDLastSave="0" documentId="13_ncr:1_{8DA08F11-BD4C-4237-92CE-3223EFD65251}" xr6:coauthVersionLast="47" xr6:coauthVersionMax="47" xr10:uidLastSave="{00000000-0000-0000-0000-000000000000}"/>
  <bookViews>
    <workbookView xWindow="28680" yWindow="-2085" windowWidth="29040" windowHeight="1584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7" l="1"/>
  <c r="AB10" i="7" s="1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9" i="7"/>
  <c r="AB9" i="7" s="1"/>
  <c r="Y10" i="7"/>
  <c r="Z10" i="7" s="1"/>
  <c r="Y11" i="7"/>
  <c r="Z11" i="7" s="1"/>
  <c r="Y12" i="7"/>
  <c r="Z12" i="7" s="1"/>
  <c r="Y13" i="7"/>
  <c r="Z13" i="7" s="1"/>
  <c r="Y14" i="7"/>
  <c r="Z14" i="7" s="1"/>
  <c r="Y15" i="7"/>
  <c r="Z15" i="7" s="1"/>
  <c r="Y16" i="7"/>
  <c r="Z16" i="7" s="1"/>
  <c r="Y17" i="7"/>
  <c r="Y18" i="7"/>
  <c r="Y19" i="7"/>
  <c r="Y20" i="7"/>
  <c r="Y21" i="7"/>
  <c r="Z21" i="7" s="1"/>
  <c r="Y22" i="7"/>
  <c r="Z22" i="7" s="1"/>
  <c r="Y23" i="7"/>
  <c r="Y24" i="7"/>
  <c r="Z24" i="7" s="1"/>
  <c r="Y25" i="7"/>
  <c r="Z25" i="7" s="1"/>
  <c r="Y9" i="7"/>
  <c r="Z9" i="7" s="1"/>
  <c r="W10" i="7"/>
  <c r="X10" i="7" s="1"/>
  <c r="W11" i="7"/>
  <c r="W12" i="7"/>
  <c r="X12" i="7" s="1"/>
  <c r="W13" i="7"/>
  <c r="W14" i="7"/>
  <c r="W15" i="7"/>
  <c r="X15" i="7" s="1"/>
  <c r="W16" i="7"/>
  <c r="X16" i="7" s="1"/>
  <c r="W17" i="7"/>
  <c r="X17" i="7" s="1"/>
  <c r="W18" i="7"/>
  <c r="W19" i="7"/>
  <c r="X19" i="7" s="1"/>
  <c r="W20" i="7"/>
  <c r="X20" i="7" s="1"/>
  <c r="W21" i="7"/>
  <c r="X21" i="7" s="1"/>
  <c r="W22" i="7"/>
  <c r="X22" i="7" s="1"/>
  <c r="W23" i="7"/>
  <c r="X23" i="7" s="1"/>
  <c r="W24" i="7"/>
  <c r="W25" i="7"/>
  <c r="X25" i="7" s="1"/>
  <c r="W9" i="7"/>
  <c r="X9" i="7" s="1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AC14" i="7" l="1"/>
  <c r="AD14" i="7" s="1"/>
  <c r="AE15" i="7"/>
  <c r="AC11" i="7"/>
  <c r="AD11" i="7" s="1"/>
  <c r="AE21" i="7"/>
  <c r="AF21" i="7" s="1"/>
  <c r="AE20" i="7"/>
  <c r="AC18" i="7"/>
  <c r="AD18" i="7" s="1"/>
  <c r="AC13" i="7"/>
  <c r="AE23" i="7"/>
  <c r="Z23" i="7"/>
  <c r="AE19" i="7"/>
  <c r="AF19" i="7" s="1"/>
  <c r="AE18" i="7"/>
  <c r="AF18" i="7" s="1"/>
  <c r="AC17" i="7"/>
  <c r="AC16" i="7"/>
  <c r="AD16" i="7" s="1"/>
  <c r="AC15" i="7"/>
  <c r="AD15" i="7" s="1"/>
  <c r="AE16" i="7"/>
  <c r="AF16" i="7" s="1"/>
  <c r="AE22" i="7"/>
  <c r="AF22" i="7" s="1"/>
  <c r="AC12" i="7"/>
  <c r="AD12" i="7" s="1"/>
  <c r="AE17" i="7"/>
  <c r="AC24" i="7"/>
  <c r="AD24" i="7" s="1"/>
  <c r="AE14" i="7"/>
  <c r="AF14" i="7" s="1"/>
  <c r="AE12" i="7"/>
  <c r="X18" i="7"/>
  <c r="AB26" i="7"/>
  <c r="AC9" i="7"/>
  <c r="AD9" i="7" s="1"/>
  <c r="Z18" i="7"/>
  <c r="AC23" i="7"/>
  <c r="AD23" i="7" s="1"/>
  <c r="X14" i="7"/>
  <c r="Z17" i="7"/>
  <c r="AC22" i="7"/>
  <c r="AD22" i="7" s="1"/>
  <c r="X24" i="7"/>
  <c r="AE13" i="7"/>
  <c r="X13" i="7"/>
  <c r="AC21" i="7"/>
  <c r="AD21" i="7" s="1"/>
  <c r="AE11" i="7"/>
  <c r="AC25" i="7"/>
  <c r="AD25" i="7" s="1"/>
  <c r="AC20" i="7"/>
  <c r="AD20" i="7" s="1"/>
  <c r="AE9" i="7"/>
  <c r="X11" i="7"/>
  <c r="AC19" i="7"/>
  <c r="AD19" i="7" s="1"/>
  <c r="AE25" i="7"/>
  <c r="AF25" i="7" s="1"/>
  <c r="AC10" i="7"/>
  <c r="AD10" i="7" s="1"/>
  <c r="Z20" i="7"/>
  <c r="Z19" i="7"/>
  <c r="AE10" i="7"/>
  <c r="AF10" i="7" s="1"/>
  <c r="AE24" i="7"/>
  <c r="AF24" i="7" s="1"/>
  <c r="V26" i="7"/>
  <c r="S26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AD13" i="7" l="1"/>
  <c r="AH21" i="7"/>
  <c r="X26" i="7"/>
  <c r="Z26" i="7"/>
  <c r="AH19" i="7"/>
  <c r="AH18" i="7"/>
  <c r="AH22" i="7"/>
  <c r="AH16" i="7"/>
  <c r="AH14" i="7"/>
  <c r="AD17" i="7"/>
  <c r="AD26" i="7" s="1"/>
  <c r="AH10" i="7"/>
  <c r="AH25" i="7"/>
  <c r="AH24" i="7"/>
  <c r="R26" i="7"/>
  <c r="O26" i="7" l="1"/>
  <c r="N26" i="7"/>
  <c r="AF23" i="7" l="1"/>
  <c r="AH23" i="7" s="1"/>
  <c r="AF17" i="7"/>
  <c r="AH17" i="7" s="1"/>
  <c r="AF15" i="7"/>
  <c r="AH15" i="7" s="1"/>
  <c r="AF12" i="7"/>
  <c r="AH12" i="7" s="1"/>
  <c r="AF20" i="7"/>
  <c r="AH20" i="7" s="1"/>
  <c r="AF13" i="7"/>
  <c r="AH13" i="7" s="1"/>
  <c r="AF9" i="7"/>
  <c r="AF11" i="7"/>
  <c r="AH11" i="7" s="1"/>
  <c r="I26" i="7"/>
  <c r="J26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AB11" i="6"/>
  <c r="AB12" i="6"/>
  <c r="AB15" i="6"/>
  <c r="AB18" i="6"/>
  <c r="AB23" i="6"/>
  <c r="AB24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A12" i="6"/>
  <c r="AA13" i="6"/>
  <c r="AB13" i="6" s="1"/>
  <c r="AA14" i="6"/>
  <c r="AB14" i="6" s="1"/>
  <c r="AA15" i="6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A24" i="6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F26" i="7" l="1"/>
  <c r="AH9" i="7"/>
  <c r="AH26" i="7" s="1"/>
  <c r="AC20" i="6"/>
  <c r="AD20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0" i="6" l="1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<sst xmlns="http://schemas.openxmlformats.org/spreadsheetml/2006/main" count="184" uniqueCount="73">
  <si>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</si>
  <si>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</si>
  <si>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</si>
  <si>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</si>
  <si>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</si>
  <si>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</si>
  <si>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</si>
  <si>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</si>
  <si>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</si>
  <si>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</si>
  <si>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</si>
  <si>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</si>
  <si>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</si>
  <si>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</si>
  <si>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</si>
  <si>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</si>
  <si>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</si>
  <si>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</si>
  <si>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</si>
  <si>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</si>
  <si>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</si>
  <si>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</si>
  <si>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</si>
  <si>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</si>
  <si>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</si>
  <si>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</si>
  <si>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</si>
  <si>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</si>
  <si>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</si>
  <si>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</si>
  <si>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</si>
  <si>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</si>
  <si>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</si>
  <si>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</si>
  <si>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</si>
  <si>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</si>
  <si>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</si>
  <si>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</si>
  <si>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</si>
  <si>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</si>
  <si>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</si>
  <si>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</si>
  <si>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</si>
  <si>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</si>
  <si>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</si>
  <si>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</si>
  <si>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</si>
  <si>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</si>
  <si>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</si>
  <si>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</si>
  <si>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</si>
  <si>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</si>
  <si>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</si>
  <si>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</si>
  <si>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</si>
  <si>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</si>
  <si>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</si>
  <si>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</si>
  <si>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</si>
  <si>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</si>
  <si>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</si>
  <si>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</si>
  <si>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</si>
  <si>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</si>
  <si>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</si>
  <si>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</si>
  <si>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</si>
  <si>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</si>
  <si>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</si>
  <si>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reg.</t>
  </si>
  <si>
    <t>horaire sup.</t>
  </si>
  <si>
    <t>egibilite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</si>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</sst>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#,##0.00\ &quot;$&quot;"/>
    <numFmt numFmtId="165" formatCode="[$-F800]dddd\,\ mmmm\ dd\,\ yyyy"/>
    <numFmt numFmtId="166" formatCode="0.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8"/>
      <color theme="3" tint="0.59999389629810485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/>
      </patternFill>
    </fill>
    <fill>
      <patternFill patternType="solid">
        <fgColor theme="8" tint="0.79998168889431442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/>
      <top style="thick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ck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/>
      <bottom style="thick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ck">
        <color theme="0"/>
      </top>
      <bottom/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20" fillId="22" borderId="46" xfId="0" applyNumberFormat="1" applyFont="1" applyFill="1" applyBorder="1" applyAlignment="1">
      <alignment horizontal="left" vertical="center" wrapText="1"/>
    </xf>
    <xf numFmtId="0" fontId="20" fillId="22" borderId="44" xfId="0" applyNumberFormat="1" applyFont="1" applyFill="1" applyBorder="1" applyAlignment="1">
      <alignment horizontal="left" vertical="center" wrapText="1"/>
    </xf>
    <xf numFmtId="165" fontId="20" fillId="22" borderId="44" xfId="0" applyNumberFormat="1" applyFont="1" applyFill="1" applyBorder="1" applyAlignment="1">
      <alignment horizontal="left" vertical="center" wrapText="1"/>
    </xf>
    <xf numFmtId="43" fontId="20" fillId="22" borderId="44" xfId="1" applyNumberFormat="1" applyFont="1" applyFill="1" applyBorder="1" applyAlignment="1">
      <alignment horizontal="left" vertical="center"/>
    </xf>
    <xf numFmtId="0" fontId="20" fillId="19" borderId="42" xfId="0" applyNumberFormat="1" applyFont="1" applyFill="1" applyBorder="1" applyAlignment="1">
      <alignment horizontal="center" vertical="center"/>
    </xf>
    <xf numFmtId="0" fontId="20" fillId="19" borderId="45" xfId="0" applyNumberFormat="1" applyFont="1" applyFill="1" applyBorder="1" applyAlignment="1">
      <alignment horizontal="center" vertical="center" wrapText="1"/>
    </xf>
    <xf numFmtId="0" fontId="20" fillId="19" borderId="48" xfId="0" applyNumberFormat="1" applyFont="1" applyFill="1" applyBorder="1" applyAlignment="1">
      <alignment horizontal="center" vertical="center" wrapText="1"/>
    </xf>
    <xf numFmtId="0" fontId="20" fillId="19" borderId="49" xfId="0" applyNumberFormat="1" applyFont="1" applyFill="1" applyBorder="1" applyAlignment="1">
      <alignment horizontal="center" vertical="center" wrapText="1"/>
    </xf>
    <xf numFmtId="43" fontId="4" fillId="21" borderId="43" xfId="1" applyFont="1" applyFill="1" applyBorder="1" applyAlignment="1">
      <alignment horizontal="center" vertical="center"/>
    </xf>
    <xf numFmtId="43" fontId="4" fillId="20" borderId="43" xfId="1" applyFont="1" applyFill="1" applyBorder="1" applyAlignment="1">
      <alignment horizontal="center" vertical="center"/>
    </xf>
    <xf numFmtId="44" fontId="4" fillId="21" borderId="43" xfId="2" applyFont="1" applyFill="1" applyBorder="1" applyAlignment="1">
      <alignment horizontal="center" vertical="center"/>
    </xf>
    <xf numFmtId="44" fontId="4" fillId="20" borderId="43" xfId="2" applyFont="1" applyFill="1" applyBorder="1" applyAlignment="1">
      <alignment horizontal="center" vertical="center"/>
    </xf>
    <xf numFmtId="44" fontId="20" fillId="22" borderId="44" xfId="2" applyFont="1" applyFill="1" applyBorder="1" applyAlignment="1">
      <alignment horizontal="left" vertical="center"/>
    </xf>
    <xf numFmtId="0" fontId="4" fillId="21" borderId="52" xfId="0" applyNumberFormat="1" applyFont="1" applyFill="1" applyBorder="1" applyAlignment="1">
      <alignment horizontal="left" vertical="center" wrapText="1"/>
    </xf>
    <xf numFmtId="0" fontId="4" fillId="20" borderId="52" xfId="0" applyNumberFormat="1" applyFont="1" applyFill="1" applyBorder="1" applyAlignment="1">
      <alignment horizontal="left" vertical="center" wrapText="1"/>
    </xf>
    <xf numFmtId="0" fontId="4" fillId="20" borderId="52" xfId="0" applyNumberFormat="1" applyFont="1" applyFill="1" applyBorder="1" applyAlignment="1">
      <alignment horizontal="left" vertical="center"/>
    </xf>
    <xf numFmtId="0" fontId="4" fillId="21" borderId="52" xfId="0" applyNumberFormat="1" applyFont="1" applyFill="1" applyBorder="1" applyAlignment="1">
      <alignment horizontal="left" vertical="center"/>
    </xf>
    <xf numFmtId="165" fontId="4" fillId="21" borderId="47" xfId="0" applyNumberFormat="1" applyFont="1" applyFill="1" applyBorder="1" applyAlignment="1">
      <alignment horizontal="left" vertical="center" wrapText="1"/>
    </xf>
    <xf numFmtId="165" fontId="4" fillId="20" borderId="47" xfId="0" applyNumberFormat="1" applyFont="1" applyFill="1" applyBorder="1" applyAlignment="1">
      <alignment horizontal="left" vertical="center" wrapText="1"/>
    </xf>
    <xf numFmtId="0" fontId="4" fillId="21" borderId="54" xfId="0" applyNumberFormat="1" applyFont="1" applyFill="1" applyBorder="1" applyAlignment="1">
      <alignment horizontal="left" vertical="center" wrapText="1"/>
    </xf>
    <xf numFmtId="0" fontId="4" fillId="20" borderId="54" xfId="0" applyNumberFormat="1" applyFont="1" applyFill="1" applyBorder="1" applyAlignment="1">
      <alignment horizontal="left" vertical="center" wrapText="1"/>
    </xf>
    <xf numFmtId="0" fontId="4" fillId="20" borderId="54" xfId="0" applyNumberFormat="1" applyFont="1" applyFill="1" applyBorder="1" applyAlignment="1">
      <alignment horizontal="left" vertical="center"/>
    </xf>
    <xf numFmtId="0" fontId="4" fillId="21" borderId="54" xfId="0" applyNumberFormat="1" applyFont="1" applyFill="1" applyBorder="1" applyAlignment="1">
      <alignment horizontal="left" vertical="center"/>
    </xf>
    <xf numFmtId="0" fontId="20" fillId="19" borderId="53" xfId="0" applyNumberFormat="1" applyFont="1" applyFill="1" applyBorder="1" applyAlignment="1">
      <alignment horizontal="center" vertical="center"/>
    </xf>
    <xf numFmtId="0" fontId="20" fillId="19" borderId="55" xfId="0" applyNumberFormat="1" applyFont="1" applyFill="1" applyBorder="1" applyAlignment="1">
      <alignment horizontal="center" vertical="center"/>
    </xf>
    <xf numFmtId="0" fontId="20" fillId="19" borderId="56" xfId="0" applyNumberFormat="1" applyFont="1" applyFill="1" applyBorder="1" applyAlignment="1">
      <alignment horizontal="center" vertical="center" wrapText="1"/>
    </xf>
    <xf numFmtId="44" fontId="4" fillId="21" borderId="57" xfId="2" applyFont="1" applyFill="1" applyBorder="1" applyAlignment="1">
      <alignment horizontal="left" vertical="center"/>
    </xf>
    <xf numFmtId="44" fontId="4" fillId="20" borderId="57" xfId="2" applyFont="1" applyFill="1" applyBorder="1" applyAlignment="1">
      <alignment horizontal="left" vertical="center"/>
    </xf>
    <xf numFmtId="44" fontId="4" fillId="21" borderId="58" xfId="2" applyFont="1" applyFill="1" applyBorder="1" applyAlignment="1">
      <alignment horizontal="left" vertical="center"/>
    </xf>
    <xf numFmtId="44" fontId="4" fillId="21" borderId="59" xfId="2" applyFont="1" applyFill="1" applyBorder="1" applyAlignment="1">
      <alignment horizontal="left" vertical="center"/>
    </xf>
    <xf numFmtId="0" fontId="4" fillId="20" borderId="60" xfId="0" applyNumberFormat="1" applyFont="1" applyFill="1" applyBorder="1" applyAlignment="1">
      <alignment horizontal="center" vertical="center"/>
    </xf>
    <xf numFmtId="0" fontId="4" fillId="20" borderId="62" xfId="0" applyNumberFormat="1" applyFont="1" applyFill="1" applyBorder="1" applyAlignment="1">
      <alignment horizontal="center" vertical="center"/>
    </xf>
    <xf numFmtId="44" fontId="4" fillId="21" borderId="63" xfId="2" applyFont="1" applyFill="1" applyBorder="1" applyAlignment="1">
      <alignment horizontal="left" vertical="center"/>
    </xf>
    <xf numFmtId="44" fontId="4" fillId="20" borderId="64" xfId="2" applyFont="1" applyFill="1" applyBorder="1" applyAlignment="1">
      <alignment horizontal="left" vertical="center"/>
    </xf>
    <xf numFmtId="44" fontId="4" fillId="21" borderId="64" xfId="2" applyFont="1" applyFill="1" applyBorder="1" applyAlignment="1">
      <alignment horizontal="left" vertical="center"/>
    </xf>
    <xf numFmtId="44" fontId="4" fillId="21" borderId="65" xfId="2" applyFont="1" applyFill="1" applyBorder="1" applyAlignment="1">
      <alignment horizontal="left" vertical="center"/>
    </xf>
    <xf numFmtId="0" fontId="20" fillId="19" borderId="61" xfId="0" applyNumberFormat="1" applyFont="1" applyFill="1" applyBorder="1" applyAlignment="1">
      <alignment horizontal="center" vertical="center"/>
    </xf>
    <xf numFmtId="44" fontId="20" fillId="23" borderId="66" xfId="2" applyFont="1" applyFill="1" applyBorder="1" applyAlignment="1">
      <alignment horizontal="left" vertical="center"/>
    </xf>
    <xf numFmtId="0" fontId="4" fillId="0" borderId="51" xfId="0" applyNumberFormat="1" applyFont="1" applyFill="1" applyBorder="1" applyAlignment="1" applyProtection="1">
      <alignment horizontal="left" vertical="center"/>
      <protection locked="0"/>
    </xf>
    <xf numFmtId="44" fontId="4" fillId="21" borderId="54" xfId="2" applyFont="1" applyFill="1" applyBorder="1" applyAlignment="1">
      <alignment horizontal="left" vertical="center"/>
    </xf>
    <xf numFmtId="44" fontId="4" fillId="20" borderId="54" xfId="2" applyFont="1" applyFill="1" applyBorder="1" applyAlignment="1">
      <alignment horizontal="left" vertical="center"/>
    </xf>
    <xf numFmtId="44" fontId="4" fillId="21" borderId="67" xfId="2" applyFont="1" applyFill="1" applyBorder="1" applyAlignment="1">
      <alignment horizontal="left" vertical="center"/>
    </xf>
    <xf numFmtId="44" fontId="4" fillId="21" borderId="53" xfId="2" applyFont="1" applyFill="1" applyBorder="1" applyAlignment="1">
      <alignment horizontal="left" vertical="center"/>
    </xf>
    <xf numFmtId="0" fontId="20" fillId="19" borderId="6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70" xfId="0" applyNumberFormat="1" applyFont="1" applyFill="1" applyBorder="1" applyAlignment="1" applyProtection="1">
      <alignment horizontal="center"/>
      <protection locked="0"/>
    </xf>
    <xf numFmtId="0" fontId="4" fillId="0" borderId="69" xfId="0" applyNumberFormat="1" applyFont="1" applyFill="1" applyBorder="1" applyAlignment="1" applyProtection="1">
      <alignment horizontal="center"/>
      <protection locked="0"/>
    </xf>
    <xf numFmtId="0" fontId="4" fillId="0" borderId="71" xfId="0" applyNumberFormat="1" applyFont="1" applyFill="1" applyBorder="1" applyAlignment="1" applyProtection="1">
      <alignment horizontal="center"/>
      <protection locked="0"/>
    </xf>
    <xf numFmtId="0" fontId="4" fillId="0" borderId="51" xfId="0" applyNumberFormat="1" applyFont="1" applyFill="1" applyBorder="1" applyAlignment="1" applyProtection="1">
      <alignment horizontal="center"/>
      <protection locked="0"/>
    </xf>
    <xf numFmtId="0" fontId="4" fillId="0" borderId="72" xfId="0" applyNumberFormat="1" applyFont="1" applyFill="1" applyBorder="1" applyAlignment="1" applyProtection="1">
      <alignment horizontal="center"/>
      <protection locked="0"/>
    </xf>
    <xf numFmtId="0" fontId="4" fillId="0" borderId="70" xfId="0" applyNumberFormat="1" applyFont="1" applyFill="1" applyBorder="1" applyAlignment="1" applyProtection="1">
      <alignment horizontal="center" vertical="center"/>
      <protection locked="0"/>
    </xf>
    <xf numFmtId="1" fontId="4" fillId="26" borderId="47" xfId="0" applyNumberFormat="1" applyFont="1" applyFill="1" applyBorder="1" applyAlignment="1">
      <alignment horizontal="center" vertical="center"/>
    </xf>
    <xf numFmtId="1" fontId="4" fillId="25" borderId="47" xfId="0" applyNumberFormat="1" applyFont="1" applyFill="1" applyBorder="1" applyAlignment="1">
      <alignment horizontal="center" vertical="center"/>
    </xf>
    <xf numFmtId="0" fontId="20" fillId="24" borderId="50" xfId="0" applyNumberFormat="1" applyFont="1" applyFill="1" applyBorder="1" applyAlignment="1">
      <alignment horizontal="center" vertical="center"/>
    </xf>
    <xf numFmtId="0" fontId="20" fillId="24" borderId="41" xfId="0" applyNumberFormat="1" applyFont="1" applyFill="1" applyBorder="1" applyAlignment="1">
      <alignment horizontal="center" vertical="center"/>
    </xf>
    <xf numFmtId="0" fontId="20" fillId="24" borderId="42" xfId="0" applyNumberFormat="1" applyFont="1" applyFill="1" applyBorder="1" applyAlignment="1">
      <alignment horizontal="center" vertical="center"/>
    </xf>
    <xf numFmtId="0" fontId="4" fillId="0" borderId="47" xfId="0" applyNumberFormat="1" applyFont="1" applyFill="1" applyBorder="1" applyAlignment="1">
      <alignment horizontal="left" vertical="center"/>
    </xf>
    <xf numFmtId="0" fontId="20" fillId="24" borderId="45" xfId="0" applyNumberFormat="1" applyFont="1" applyFill="1" applyBorder="1" applyAlignment="1">
      <alignment horizontal="center" vertical="center" wrapText="1"/>
    </xf>
    <xf numFmtId="0" fontId="4" fillId="25" borderId="46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17" borderId="46" xfId="0" applyNumberFormat="1" applyFont="1" applyFill="1" applyBorder="1" applyAlignment="1">
      <alignment horizontal="left" vertical="center"/>
    </xf>
    <xf numFmtId="0" fontId="4" fillId="17" borderId="44" xfId="0" applyNumberFormat="1" applyFont="1" applyFill="1" applyBorder="1" applyAlignment="1">
      <alignment horizontal="left" vertical="center"/>
    </xf>
    <xf numFmtId="44" fontId="4" fillId="18" borderId="47" xfId="2" applyNumberFormat="1" applyFont="1" applyFill="1" applyBorder="1" applyAlignment="1">
      <alignment horizontal="left" vertical="center"/>
    </xf>
    <xf numFmtId="44" fontId="4" fillId="18" borderId="43" xfId="2" applyNumberFormat="1" applyFont="1" applyFill="1" applyBorder="1" applyAlignment="1">
      <alignment horizontal="left" vertical="center"/>
    </xf>
    <xf numFmtId="44" fontId="4" fillId="17" borderId="47" xfId="2" applyNumberFormat="1" applyFont="1" applyFill="1" applyBorder="1" applyAlignment="1">
      <alignment horizontal="left" vertical="center"/>
    </xf>
    <xf numFmtId="44" fontId="4" fillId="17" borderId="43" xfId="2" applyNumberFormat="1" applyFont="1" applyFill="1" applyBorder="1" applyAlignment="1">
      <alignment horizontal="left" vertical="center"/>
    </xf>
    <xf numFmtId="0" fontId="20" fillId="16" borderId="50" xfId="0" applyNumberFormat="1" applyFont="1" applyFill="1" applyBorder="1" applyAlignment="1">
      <alignment horizontal="center" vertical="center"/>
    </xf>
    <xf numFmtId="0" fontId="4" fillId="18" borderId="47" xfId="0" applyNumberFormat="1" applyFont="1" applyFill="1" applyBorder="1" applyAlignment="1">
      <alignment horizontal="left" vertical="center"/>
    </xf>
    <xf numFmtId="0" fontId="4" fillId="17" borderId="47" xfId="0" applyNumberFormat="1" applyFont="1" applyFill="1" applyBorder="1" applyAlignment="1">
      <alignment horizontal="left" vertical="center"/>
    </xf>
    <xf numFmtId="44" fontId="4" fillId="27" borderId="47" xfId="0" applyNumberFormat="1" applyFont="1" applyFill="1" applyBorder="1" applyAlignment="1">
      <alignment horizontal="left" vertical="center"/>
    </xf>
    <xf numFmtId="44" fontId="4" fillId="27" borderId="43" xfId="0" applyNumberFormat="1" applyFont="1" applyFill="1" applyBorder="1" applyAlignment="1">
      <alignment horizontal="left" vertical="center"/>
    </xf>
    <xf numFmtId="0" fontId="20" fillId="19" borderId="59" xfId="0" applyNumberFormat="1" applyFont="1" applyFill="1" applyBorder="1" applyAlignment="1">
      <alignment horizontal="center" vertical="center"/>
    </xf>
    <xf numFmtId="0" fontId="20" fillId="19" borderId="73" xfId="0" applyNumberFormat="1" applyFont="1" applyFill="1" applyBorder="1" applyAlignment="1">
      <alignment horizontal="center" vertical="center"/>
    </xf>
    <xf numFmtId="44" fontId="4" fillId="0" borderId="47" xfId="2" applyNumberFormat="1" applyFont="1" applyFill="1" applyBorder="1" applyAlignment="1">
      <alignment horizontal="left" vertical="center"/>
    </xf>
    <xf numFmtId="0" fontId="4" fillId="0" borderId="53" xfId="0" applyNumberFormat="1" applyFont="1" applyFill="1" applyBorder="1" applyAlignment="1" applyProtection="1">
      <alignment horizontal="left" vertical="center"/>
      <protection locked="0"/>
    </xf>
    <xf numFmtId="0" fontId="4" fillId="0" borderId="69" xfId="0" applyNumberFormat="1" applyFont="1" applyFill="1" applyBorder="1" applyAlignment="1" applyProtection="1">
      <alignment horizontal="center" vertical="center"/>
      <protection locked="0"/>
    </xf>
    <xf numFmtId="0" fontId="4" fillId="0" borderId="71" xfId="0" applyNumberFormat="1" applyFont="1" applyFill="1" applyBorder="1" applyAlignment="1" applyProtection="1">
      <alignment horizontal="center" vertical="center"/>
      <protection locked="0"/>
    </xf>
    <xf numFmtId="0" fontId="4" fillId="0" borderId="51" xfId="0" applyNumberFormat="1" applyFont="1" applyFill="1" applyBorder="1" applyAlignment="1" applyProtection="1">
      <alignment horizontal="center" vertical="center"/>
      <protection locked="0"/>
    </xf>
    <xf numFmtId="0" fontId="4" fillId="0" borderId="72" xfId="0" applyNumberFormat="1" applyFont="1" applyFill="1" applyBorder="1" applyAlignment="1" applyProtection="1">
      <alignment horizontal="center" vertical="center"/>
      <protection locked="0"/>
    </xf>
    <xf numFmtId="0" fontId="20" fillId="16" borderId="0" xfId="0" applyNumberFormat="1" applyFont="1" applyFill="1" applyBorder="1" applyAlignment="1">
      <alignment horizontal="center" vertical="center" wrapText="1"/>
    </xf>
    <xf numFmtId="0" fontId="20" fillId="16" borderId="74" xfId="0" applyNumberFormat="1" applyFont="1" applyFill="1" applyBorder="1" applyAlignment="1">
      <alignment horizontal="center" vertical="center" wrapText="1"/>
    </xf>
    <xf numFmtId="0" fontId="4" fillId="28" borderId="0" xfId="0" applyNumberFormat="1" applyFont="1" applyFill="1" applyBorder="1" applyAlignment="1" applyProtection="1">
      <alignment horizontal="center" vertical="center"/>
      <protection locked="0"/>
    </xf>
    <xf numFmtId="0" fontId="21" fillId="28" borderId="0" xfId="0" applyNumberFormat="1" applyFont="1" applyFill="1" applyBorder="1" applyAlignment="1" applyProtection="1">
      <alignment horizontal="center" vertical="center"/>
      <protection locked="0"/>
    </xf>
    <xf numFmtId="0" fontId="4" fillId="29" borderId="0" xfId="0" applyNumberFormat="1" applyFont="1" applyFill="1" applyBorder="1" applyAlignment="1" applyProtection="1">
      <alignment horizontal="center" vertical="center"/>
      <protection locked="0"/>
    </xf>
    <xf numFmtId="0" fontId="21" fillId="29" borderId="0" xfId="0" applyNumberFormat="1" applyFont="1" applyFill="1" applyBorder="1" applyAlignment="1" applyProtection="1">
      <alignment horizontal="center" vertical="center"/>
      <protection locked="0"/>
    </xf>
    <xf numFmtId="0" fontId="4" fillId="30" borderId="0" xfId="0" applyNumberFormat="1" applyFont="1" applyFill="1" applyBorder="1" applyAlignment="1" applyProtection="1">
      <alignment horizontal="right" vertical="center"/>
      <protection locked="0"/>
    </xf>
    <xf numFmtId="0" fontId="21" fillId="30" borderId="0" xfId="0" applyNumberFormat="1" applyFont="1" applyFill="1" applyBorder="1" applyAlignment="1" applyProtection="1">
      <alignment horizontal="right" vertical="center"/>
      <protection locked="0"/>
    </xf>
    <xf numFmtId="0" fontId="4" fillId="17" borderId="75" xfId="0" applyNumberFormat="1" applyFont="1" applyFill="1" applyBorder="1" applyAlignment="1">
      <alignment horizontal="left" vertical="center"/>
    </xf>
    <xf numFmtId="44" fontId="4" fillId="18" borderId="64" xfId="0" applyNumberFormat="1" applyFont="1" applyFill="1" applyBorder="1" applyAlignment="1">
      <alignment horizontal="left" vertical="center"/>
    </xf>
    <xf numFmtId="44" fontId="4" fillId="17" borderId="64" xfId="0" applyNumberFormat="1" applyFont="1" applyFill="1" applyBorder="1" applyAlignment="1">
      <alignment horizontal="left" vertical="center"/>
    </xf>
    <xf numFmtId="44" fontId="4" fillId="6" borderId="51" xfId="0" applyNumberFormat="1" applyFont="1" applyFill="1" applyBorder="1" applyAlignment="1" applyProtection="1">
      <alignment horizontal="left" vertical="center"/>
      <protection locked="0"/>
    </xf>
    <xf numFmtId="44" fontId="4" fillId="18" borderId="64" xfId="2" applyNumberFormat="1" applyFont="1" applyFill="1" applyBorder="1" applyAlignment="1">
      <alignment horizontal="left" vertical="center"/>
    </xf>
    <xf numFmtId="44" fontId="4" fillId="17" borderId="64" xfId="2" applyNumberFormat="1" applyFont="1" applyFill="1" applyBorder="1" applyAlignment="1">
      <alignment horizontal="left" vertical="center"/>
    </xf>
    <xf numFmtId="44" fontId="4" fillId="0" borderId="53" xfId="2" applyFont="1" applyFill="1" applyBorder="1" applyAlignment="1" applyProtection="1">
      <alignment horizontal="left" vertical="center"/>
      <protection locked="0"/>
    </xf>
    <xf numFmtId="0" fontId="4" fillId="0" borderId="70" xfId="0" applyNumberFormat="1" applyFont="1" applyFill="1" applyBorder="1" applyAlignment="1" applyProtection="1">
      <alignment horizontal="left" vertical="center"/>
      <protection locked="0"/>
    </xf>
    <xf numFmtId="0" fontId="4" fillId="25" borderId="75" xfId="0" applyNumberFormat="1" applyFont="1" applyFill="1" applyBorder="1" applyAlignment="1">
      <alignment horizontal="center" vertical="center"/>
    </xf>
    <xf numFmtId="1" fontId="4" fillId="26" borderId="64" xfId="0" applyNumberFormat="1" applyFont="1" applyFill="1" applyBorder="1" applyAlignment="1">
      <alignment horizontal="center" vertical="center"/>
    </xf>
    <xf numFmtId="1" fontId="4" fillId="25" borderId="64" xfId="0" applyNumberFormat="1" applyFont="1" applyFill="1" applyBorder="1" applyAlignment="1">
      <alignment horizontal="center" vertical="center"/>
    </xf>
    <xf numFmtId="0" fontId="4" fillId="0" borderId="64" xfId="0" applyNumberFormat="1" applyFont="1" applyFill="1" applyBorder="1" applyAlignment="1">
      <alignment horizontal="left" vertical="center"/>
    </xf>
    <xf numFmtId="0" fontId="4" fillId="25" borderId="66" xfId="0" applyNumberFormat="1" applyFont="1" applyFill="1" applyBorder="1" applyAlignment="1">
      <alignment horizontal="center" vertical="center"/>
    </xf>
    <xf numFmtId="44" fontId="4" fillId="26" borderId="54" xfId="2" applyFont="1" applyFill="1" applyBorder="1" applyAlignment="1">
      <alignment horizontal="left" vertical="center"/>
    </xf>
    <xf numFmtId="44" fontId="4" fillId="25" borderId="54" xfId="2" applyFont="1" applyFill="1" applyBorder="1" applyAlignment="1">
      <alignment horizontal="left" vertical="center"/>
    </xf>
    <xf numFmtId="0" fontId="20" fillId="24" borderId="74" xfId="0" applyNumberFormat="1" applyFont="1" applyFill="1" applyBorder="1" applyAlignment="1">
      <alignment horizontal="center" vertical="center" wrapText="1"/>
    </xf>
    <xf numFmtId="0" fontId="4" fillId="26" borderId="47" xfId="0" applyNumberFormat="1" applyFont="1" applyFill="1" applyBorder="1" applyAlignment="1">
      <alignment horizontal="center" vertical="center"/>
    </xf>
    <xf numFmtId="0" fontId="4" fillId="25" borderId="4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71" xfId="0" applyNumberFormat="1" applyFont="1" applyFill="1" applyBorder="1" applyAlignment="1" applyProtection="1">
      <alignment horizontal="left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top"/>
      <protection locked="0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42578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93" t="s">
        <v>14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94" t="s">
        <v>10</v>
      </c>
      <c r="C5" s="94"/>
      <c r="D5" s="94"/>
      <c r="E5" s="94"/>
      <c r="F5" s="94"/>
      <c r="G5" s="94"/>
      <c r="H5" s="94"/>
      <c r="I5" s="94"/>
      <c r="J5" s="94"/>
      <c r="L5" s="95" t="s">
        <v>36</v>
      </c>
      <c r="M5" s="95"/>
      <c r="N5" s="95"/>
      <c r="O5" s="95"/>
      <c r="P5" s="95"/>
      <c r="R5" s="99" t="s">
        <v>11</v>
      </c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spans="2:34" ht="3" customHeight="1" x14ac:dyDescent="0.2"/>
    <row r="7" spans="2:34" ht="10.199999999999999" customHeight="1" x14ac:dyDescent="0.2">
      <c r="B7" s="116" t="s">
        <v>1</v>
      </c>
      <c r="C7" s="108" t="s">
        <v>32</v>
      </c>
      <c r="D7" s="110" t="s">
        <v>35</v>
      </c>
      <c r="E7" s="100" t="s">
        <v>6</v>
      </c>
      <c r="F7" s="112" t="s">
        <v>37</v>
      </c>
      <c r="G7" s="102" t="s">
        <v>7</v>
      </c>
      <c r="H7" s="103"/>
      <c r="I7" s="114" t="s">
        <v>48</v>
      </c>
      <c r="J7" s="115"/>
      <c r="K7" s="4"/>
      <c r="L7" s="104" t="s">
        <v>2</v>
      </c>
      <c r="M7" s="105"/>
      <c r="N7" s="104" t="s">
        <v>0</v>
      </c>
      <c r="O7" s="105"/>
      <c r="P7" s="118" t="s">
        <v>42</v>
      </c>
      <c r="Q7" s="17"/>
      <c r="R7" s="106" t="s">
        <v>5</v>
      </c>
      <c r="S7" s="107"/>
      <c r="T7" s="13"/>
      <c r="U7" s="106" t="s">
        <v>38</v>
      </c>
      <c r="V7" s="107"/>
      <c r="W7" s="106" t="s">
        <v>41</v>
      </c>
      <c r="X7" s="107"/>
      <c r="Y7" s="106" t="s">
        <v>43</v>
      </c>
      <c r="Z7" s="107"/>
      <c r="AA7" s="106" t="s">
        <v>44</v>
      </c>
      <c r="AB7" s="107"/>
      <c r="AC7" s="106" t="s">
        <v>45</v>
      </c>
      <c r="AD7" s="107"/>
      <c r="AE7" s="106" t="s">
        <v>46</v>
      </c>
      <c r="AF7" s="107"/>
      <c r="AG7" s="13"/>
      <c r="AH7" s="120" t="s">
        <v>50</v>
      </c>
    </row>
    <row r="8" spans="2:34" ht="10.199999999999999" customHeight="1" thickBot="1" x14ac:dyDescent="0.25">
      <c r="B8" s="117"/>
      <c r="C8" s="109"/>
      <c r="D8" s="111"/>
      <c r="E8" s="101"/>
      <c r="F8" s="113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19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1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6" t="s">
        <v>12</v>
      </c>
      <c r="C29" s="97"/>
      <c r="D29" s="98"/>
      <c r="E29" s="96" t="s">
        <v>49</v>
      </c>
      <c r="F29" s="98"/>
      <c r="G29" s="96" t="s">
        <v>12</v>
      </c>
      <c r="H29" s="97"/>
      <c r="I29" s="97"/>
      <c r="J29" s="97"/>
      <c r="K29" s="97"/>
      <c r="L29" s="97"/>
      <c r="M29" s="97"/>
      <c r="N29" s="97"/>
      <c r="O29" s="97"/>
      <c r="P29" s="98"/>
      <c r="R29" s="96" t="s">
        <v>13</v>
      </c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8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3"/>
  <sheetViews>
    <sheetView tabSelected="1" zoomScale="115" zoomScaleNormal="115" workbookViewId="0">
      <selection activeCell="K34" sqref="K34"/>
    </sheetView>
  </sheetViews>
  <sheetFormatPr baseColWidth="10" defaultColWidth="10.7109375" defaultRowHeight="10.199999999999999" x14ac:dyDescent="0.2"/>
  <cols>
    <col min="1" max="1" width="10.7109375" style="92"/>
    <col min="2" max="2" width="27.28515625" style="92" bestFit="1" customWidth="1"/>
    <col min="3" max="3" width="7.140625" style="92" customWidth="1"/>
    <col min="4" max="4" width="18.28515625" style="92" customWidth="1"/>
    <col min="5" max="5" width="11.7109375" style="92" customWidth="1"/>
    <col min="6" max="6" width="9.85546875" style="92" customWidth="1"/>
    <col min="7" max="7" width="20.42578125" style="92" bestFit="1" customWidth="1"/>
    <col min="8" max="8" width="11.28515625" style="92" customWidth="1"/>
    <col min="9" max="10" width="14.140625" style="92" bestFit="1" customWidth="1"/>
    <col min="11" max="11" width="19.85546875" style="92" customWidth="1"/>
    <col min="12" max="12" width="19" style="92" customWidth="1"/>
    <col min="13" max="13" width="11.28515625" style="92" customWidth="1"/>
    <col min="14" max="14" width="17.7109375" style="92" customWidth="1"/>
    <col min="15" max="15" width="14.140625" style="92" bestFit="1" customWidth="1"/>
    <col min="16" max="16" width="19.42578125" style="92" customWidth="1"/>
    <col min="17" max="17" width="10.7109375" style="92"/>
    <col min="18" max="18" width="14.140625" style="92" customWidth="1"/>
    <col min="19" max="19" width="14.42578125" style="92" customWidth="1"/>
    <col min="20" max="21" width="10.7109375" style="92"/>
    <col min="22" max="22" width="11.28515625" style="92" customWidth="1"/>
    <col min="23" max="23" width="10.7109375" style="92"/>
    <col min="24" max="24" width="11.28515625" style="92" customWidth="1"/>
    <col min="25" max="25" width="10.7109375" style="92"/>
    <col min="26" max="26" width="11.28515625" style="92" customWidth="1"/>
    <col min="27" max="27" width="10.7109375" style="92"/>
    <col min="28" max="28" width="11.28515625" style="92" customWidth="1"/>
    <col min="29" max="29" width="10.7109375" style="92"/>
    <col min="30" max="30" width="11.28515625" style="92" customWidth="1"/>
    <col min="31" max="31" width="10.7109375" style="92"/>
    <col min="32" max="32" width="11.28515625" style="92" customWidth="1"/>
    <col min="33" max="33" width="4.5703125" style="92" customWidth="1"/>
    <col min="34" max="34" width="13.42578125" style="92" bestFit="1" customWidth="1"/>
    <col min="35" max="16384" width="10.7109375" style="92"/>
  </cols>
  <sheetData>
    <row r="1" spans="1:35" x14ac:dyDescent="0.2">
      <c r="B1" s="236" t="s">
        <v>14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</row>
    <row r="2" spans="1:35" ht="10.199999999999999" customHeight="1" x14ac:dyDescent="0.2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35" ht="10.199999999999999" customHeight="1" x14ac:dyDescent="0.2">
      <c r="B3" s="237" t="s">
        <v>47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</row>
    <row r="5" spans="1:35" x14ac:dyDescent="0.2">
      <c r="B5" s="210" t="s">
        <v>10</v>
      </c>
      <c r="C5" s="209"/>
      <c r="D5" s="209"/>
      <c r="E5" s="209"/>
      <c r="F5" s="209"/>
      <c r="G5" s="209"/>
      <c r="H5" s="209"/>
      <c r="I5" s="209"/>
      <c r="J5" s="209"/>
      <c r="K5" s="171"/>
      <c r="L5" s="212" t="s">
        <v>36</v>
      </c>
      <c r="M5" s="211"/>
      <c r="N5" s="211"/>
      <c r="O5" s="211"/>
      <c r="P5" s="211"/>
      <c r="R5" s="214" t="s">
        <v>11</v>
      </c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</row>
    <row r="6" spans="1:35" ht="10.199999999999999" customHeight="1" x14ac:dyDescent="0.2">
      <c r="B6" s="209"/>
      <c r="C6" s="209"/>
      <c r="D6" s="209"/>
      <c r="E6" s="209"/>
      <c r="F6" s="209"/>
      <c r="G6" s="209"/>
      <c r="H6" s="209"/>
      <c r="I6" s="209"/>
      <c r="J6" s="209"/>
      <c r="K6" s="171"/>
      <c r="L6" s="211"/>
      <c r="M6" s="211"/>
      <c r="N6" s="211"/>
      <c r="O6" s="211"/>
      <c r="P6" s="211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</row>
    <row r="7" spans="1:35" ht="10.199999999999999" customHeight="1" thickBot="1" x14ac:dyDescent="0.25">
      <c r="A7" s="165"/>
      <c r="B7" s="150" t="s">
        <v>1</v>
      </c>
      <c r="C7" s="150" t="s">
        <v>32</v>
      </c>
      <c r="D7" s="199" t="s">
        <v>35</v>
      </c>
      <c r="E7" s="133" t="s">
        <v>6</v>
      </c>
      <c r="F7" s="132" t="s">
        <v>37</v>
      </c>
      <c r="G7" s="131" t="s">
        <v>7</v>
      </c>
      <c r="H7" s="163"/>
      <c r="I7" s="170" t="s">
        <v>48</v>
      </c>
      <c r="J7" s="163"/>
      <c r="L7" s="181" t="s">
        <v>2</v>
      </c>
      <c r="M7" s="182"/>
      <c r="N7" s="183" t="s">
        <v>0</v>
      </c>
      <c r="O7" s="182"/>
      <c r="P7" s="185" t="s">
        <v>42</v>
      </c>
      <c r="R7" s="194" t="s">
        <v>5</v>
      </c>
      <c r="S7" s="194"/>
      <c r="U7" s="194" t="s">
        <v>38</v>
      </c>
      <c r="V7" s="194"/>
      <c r="W7" s="194" t="s">
        <v>41</v>
      </c>
      <c r="X7" s="194"/>
      <c r="Y7" s="194" t="s">
        <v>43</v>
      </c>
      <c r="Z7" s="194"/>
      <c r="AA7" s="194" t="s">
        <v>44</v>
      </c>
      <c r="AB7" s="194"/>
      <c r="AC7" s="194" t="s">
        <v>45</v>
      </c>
      <c r="AD7" s="194"/>
      <c r="AE7" s="194" t="s">
        <v>46</v>
      </c>
      <c r="AF7" s="194"/>
      <c r="AH7" s="207" t="s">
        <v>50</v>
      </c>
    </row>
    <row r="8" spans="1:35" ht="10.199999999999999" customHeight="1" thickTop="1" x14ac:dyDescent="0.2">
      <c r="A8" s="165"/>
      <c r="B8" s="151"/>
      <c r="C8" s="151"/>
      <c r="D8" s="200"/>
      <c r="E8" s="134"/>
      <c r="F8" s="152"/>
      <c r="G8" s="157" t="s">
        <v>9</v>
      </c>
      <c r="H8" s="158" t="s">
        <v>8</v>
      </c>
      <c r="I8" s="158" t="s">
        <v>3</v>
      </c>
      <c r="J8" s="158" t="s">
        <v>4</v>
      </c>
      <c r="L8" s="186" t="s">
        <v>9</v>
      </c>
      <c r="M8" s="223" t="s">
        <v>8</v>
      </c>
      <c r="N8" s="227" t="s">
        <v>3</v>
      </c>
      <c r="O8" s="227" t="s">
        <v>4</v>
      </c>
      <c r="P8" s="230"/>
      <c r="R8" s="188" t="s">
        <v>69</v>
      </c>
      <c r="S8" s="189" t="s">
        <v>70</v>
      </c>
      <c r="T8" s="165"/>
      <c r="U8" s="188" t="s">
        <v>71</v>
      </c>
      <c r="V8" s="215" t="s">
        <v>72</v>
      </c>
      <c r="W8" s="188" t="s">
        <v>71</v>
      </c>
      <c r="X8" s="215" t="s">
        <v>72</v>
      </c>
      <c r="Y8" s="188" t="s">
        <v>71</v>
      </c>
      <c r="Z8" s="215" t="s">
        <v>72</v>
      </c>
      <c r="AA8" s="188" t="s">
        <v>71</v>
      </c>
      <c r="AB8" s="215" t="s">
        <v>72</v>
      </c>
      <c r="AC8" s="188" t="s">
        <v>71</v>
      </c>
      <c r="AD8" s="215" t="s">
        <v>72</v>
      </c>
      <c r="AE8" s="188" t="s">
        <v>71</v>
      </c>
      <c r="AF8" s="215" t="s">
        <v>72</v>
      </c>
      <c r="AH8" s="208"/>
      <c r="AI8" s="222"/>
    </row>
    <row r="9" spans="1:35" ht="10.199999999999999" customHeight="1" x14ac:dyDescent="0.2">
      <c r="A9" s="165"/>
      <c r="B9" s="140" t="s">
        <v>15</v>
      </c>
      <c r="C9" s="146" t="s">
        <v>33</v>
      </c>
      <c r="D9" s="144">
        <v>38226</v>
      </c>
      <c r="E9" s="135">
        <f ca="1">YEARFRAC(D9,TODAY())</f>
        <v>18.213888888888889</v>
      </c>
      <c r="F9" s="137">
        <f ca="1">(E9/5)+2</f>
        <v>5.6427777777777779</v>
      </c>
      <c r="G9" s="156">
        <v>21.68</v>
      </c>
      <c r="H9" s="159">
        <v>32.520000000000003</v>
      </c>
      <c r="I9" s="169">
        <v>86639.77</v>
      </c>
      <c r="J9" s="169">
        <v>138605.66</v>
      </c>
      <c r="K9" s="92">
        <v>0</v>
      </c>
      <c r="L9" s="179">
        <v>1837.5</v>
      </c>
      <c r="M9" s="224">
        <v>12.7</v>
      </c>
      <c r="N9" s="228">
        <v>87225.33</v>
      </c>
      <c r="O9" s="228">
        <v>113521.61</v>
      </c>
      <c r="P9" s="231">
        <v>6</v>
      </c>
      <c r="R9" s="190">
        <f>PRODUCT(G9,L9)</f>
        <v>39837</v>
      </c>
      <c r="S9" s="191">
        <f>PRODUCT(H9,M9)</f>
        <v>413.00400000000002</v>
      </c>
      <c r="T9" s="165"/>
      <c r="U9" s="195" t="str">
        <f>IF(B9&lt;&gt;"","OUI","NON")</f>
        <v>OUI</v>
      </c>
      <c r="V9" s="216">
        <f>N9*0.01+O9*0.015</f>
        <v>2575.0774499999998</v>
      </c>
      <c r="W9" s="195" t="str">
        <f>IF(N9&gt;=I9,"OUI","NON")</f>
        <v>OUI</v>
      </c>
      <c r="X9" s="219">
        <f>IF(W9="OUI",(N9-I9)*0.1,0)</f>
        <v>58.55599999999977</v>
      </c>
      <c r="Y9" s="190" t="str">
        <f>IF(O9&gt;=J9,"OUI","NON")</f>
        <v>NON</v>
      </c>
      <c r="Z9" s="219">
        <f>IF(Y9="OUI",(O9-J9)*0.15,0)</f>
        <v>0</v>
      </c>
      <c r="AA9" s="190" t="str">
        <f>+IF(P9&gt;=6,"OUI","NON")</f>
        <v>OUI</v>
      </c>
      <c r="AB9" s="219">
        <f>IF(AA9="OUI",(O9+N9)*0.0025,0)</f>
        <v>501.86735000000004</v>
      </c>
      <c r="AC9" s="190" t="str">
        <f>IF(AND(W9="OUI",Y9="OUI"),"OUI","NON")</f>
        <v>NON</v>
      </c>
      <c r="AD9" s="219">
        <f>IF(AC9="OUI",(X9/0.1+Z9/0.15)*P9/100,0)</f>
        <v>0</v>
      </c>
      <c r="AE9" s="190" t="str">
        <f>IF(AND(OR(Y9="OUI",W9="OUI"),AA9="OUI"),"OUI","NON")</f>
        <v>OUI</v>
      </c>
      <c r="AF9" s="219">
        <f>IF(AE9="OUI",(N9+O9)/($O$26+$N$26)*15000,0)</f>
        <v>737.56375982265286</v>
      </c>
      <c r="AG9" s="221"/>
      <c r="AH9" s="190">
        <f>SUM(R9:S9,V9,X9,Z9,AB9,AD9,AF9)</f>
        <v>44123.068559822648</v>
      </c>
      <c r="AI9" s="222"/>
    </row>
    <row r="10" spans="1:35" ht="10.199999999999999" customHeight="1" x14ac:dyDescent="0.2">
      <c r="A10" s="165"/>
      <c r="B10" s="141" t="s">
        <v>16</v>
      </c>
      <c r="C10" s="147" t="s">
        <v>33</v>
      </c>
      <c r="D10" s="145">
        <v>38227</v>
      </c>
      <c r="E10" s="136">
        <f t="shared" ref="E10:E25" ca="1" si="0">YEARFRAC(D10,TODAY())</f>
        <v>18.211111111111112</v>
      </c>
      <c r="F10" s="138">
        <f t="shared" ref="F10:F25" ca="1" si="1">(E10/5)+2</f>
        <v>5.6422222222222222</v>
      </c>
      <c r="G10" s="154">
        <v>23.05</v>
      </c>
      <c r="H10" s="160">
        <v>34.58</v>
      </c>
      <c r="I10" s="167">
        <v>86104.49</v>
      </c>
      <c r="J10" s="167">
        <v>141119.44</v>
      </c>
      <c r="K10" s="92">
        <v>0</v>
      </c>
      <c r="L10" s="180">
        <v>1800</v>
      </c>
      <c r="M10" s="225">
        <v>25.2</v>
      </c>
      <c r="N10" s="229">
        <v>100494.47</v>
      </c>
      <c r="O10" s="229">
        <v>133202.71</v>
      </c>
      <c r="P10" s="232">
        <v>2</v>
      </c>
      <c r="R10" s="192">
        <f t="shared" ref="R10:R25" si="2">PRODUCT(G10,L10)</f>
        <v>41490</v>
      </c>
      <c r="S10" s="193">
        <f t="shared" ref="S10:S25" si="3">PRODUCT(H10,M10)</f>
        <v>871.41599999999994</v>
      </c>
      <c r="T10" s="165"/>
      <c r="U10" s="196" t="str">
        <f>IF(B10&lt;&gt;"","OUI","NON")</f>
        <v>OUI</v>
      </c>
      <c r="V10" s="217">
        <f>N10*0.01+O10*0.015</f>
        <v>3002.9853499999999</v>
      </c>
      <c r="W10" s="196" t="str">
        <f t="shared" ref="W10:W25" si="4">IF(N10&gt;=I10,"OUI","NON")</f>
        <v>OUI</v>
      </c>
      <c r="X10" s="220">
        <f t="shared" ref="X10:X25" si="5">IF(W10="OUI",(N10-I10)*0.1,0)</f>
        <v>1438.9979999999996</v>
      </c>
      <c r="Y10" s="192" t="str">
        <f t="shared" ref="Y10:Y25" si="6">IF(O10&gt;=J10,"OUI","NON")</f>
        <v>NON</v>
      </c>
      <c r="Z10" s="220">
        <f t="shared" ref="Z10:Z25" si="7">IF(Y10="OUI",(O10-J10)*0.15,0)</f>
        <v>0</v>
      </c>
      <c r="AA10" s="192" t="str">
        <f t="shared" ref="AA10:AA25" si="8">+IF(P10&gt;=6,"OUI","NON")</f>
        <v>NON</v>
      </c>
      <c r="AB10" s="220">
        <f t="shared" ref="AB10:AB25" si="9">IF(AA10="OUI",(O10+N10)*0.0025,0)</f>
        <v>0</v>
      </c>
      <c r="AC10" s="192" t="str">
        <f t="shared" ref="AC10:AC25" si="10">IF(AND(W10="OUI",Y10="OUI"),"OUI","NON")</f>
        <v>NON</v>
      </c>
      <c r="AD10" s="220">
        <f t="shared" ref="AD10:AD25" si="11">IF(AC10="OUI",(X10/0.1+Z10/0.15)*P10/100,0)</f>
        <v>0</v>
      </c>
      <c r="AE10" s="192" t="str">
        <f t="shared" ref="AE10:AE25" si="12">IF(AND(OR(Y10="OUI",W10="OUI"),AA10="OUI"),"OUI","NON")</f>
        <v>NON</v>
      </c>
      <c r="AF10" s="220">
        <f t="shared" ref="AF10:AF25" si="13">IF(AE10="OUI",(N10+O10)/($O$26+$N$26)*15000,0)</f>
        <v>0</v>
      </c>
      <c r="AG10" s="221"/>
      <c r="AH10" s="192">
        <f>SUM(R10:S10,V10,X10,Z10,AB10,AD10,AF10)</f>
        <v>46803.39935</v>
      </c>
      <c r="AI10" s="222"/>
    </row>
    <row r="11" spans="1:35" ht="10.199999999999999" customHeight="1" x14ac:dyDescent="0.2">
      <c r="A11" s="165"/>
      <c r="B11" s="140" t="s">
        <v>17</v>
      </c>
      <c r="C11" s="146" t="s">
        <v>34</v>
      </c>
      <c r="D11" s="144">
        <v>35826</v>
      </c>
      <c r="E11" s="135">
        <f t="shared" ca="1" si="0"/>
        <v>24.788888888888888</v>
      </c>
      <c r="F11" s="137">
        <f t="shared" ca="1" si="1"/>
        <v>6.9577777777777774</v>
      </c>
      <c r="G11" s="153">
        <v>26.94</v>
      </c>
      <c r="H11" s="161">
        <v>40.409999999999997</v>
      </c>
      <c r="I11" s="166">
        <v>89605.86</v>
      </c>
      <c r="J11" s="166">
        <v>156292.04</v>
      </c>
      <c r="K11" s="92">
        <v>0</v>
      </c>
      <c r="L11" s="179">
        <v>1800</v>
      </c>
      <c r="M11" s="224">
        <v>0</v>
      </c>
      <c r="N11" s="228">
        <v>76821.77</v>
      </c>
      <c r="O11" s="228">
        <v>158727.13</v>
      </c>
      <c r="P11" s="231">
        <v>6</v>
      </c>
      <c r="R11" s="190">
        <f t="shared" si="2"/>
        <v>48492</v>
      </c>
      <c r="S11" s="191">
        <f t="shared" si="3"/>
        <v>0</v>
      </c>
      <c r="T11" s="165"/>
      <c r="U11" s="195" t="str">
        <f>IF(B11&lt;&gt;"","OUI","NON")</f>
        <v>OUI</v>
      </c>
      <c r="V11" s="216">
        <f>N11*0.01+O11*0.015</f>
        <v>3149.1246500000002</v>
      </c>
      <c r="W11" s="195" t="str">
        <f t="shared" si="4"/>
        <v>NON</v>
      </c>
      <c r="X11" s="219">
        <f t="shared" si="5"/>
        <v>0</v>
      </c>
      <c r="Y11" s="190" t="str">
        <f t="shared" si="6"/>
        <v>OUI</v>
      </c>
      <c r="Z11" s="219">
        <f t="shared" si="7"/>
        <v>365.26349999999945</v>
      </c>
      <c r="AA11" s="190" t="str">
        <f t="shared" si="8"/>
        <v>OUI</v>
      </c>
      <c r="AB11" s="219">
        <f t="shared" si="9"/>
        <v>588.87225000000012</v>
      </c>
      <c r="AC11" s="190" t="str">
        <f t="shared" si="10"/>
        <v>NON</v>
      </c>
      <c r="AD11" s="219">
        <f t="shared" si="11"/>
        <v>0</v>
      </c>
      <c r="AE11" s="190" t="str">
        <f t="shared" si="12"/>
        <v>OUI</v>
      </c>
      <c r="AF11" s="219">
        <f t="shared" si="13"/>
        <v>865.42954182061294</v>
      </c>
      <c r="AG11" s="221"/>
      <c r="AH11" s="190">
        <f>SUM(R11:S11,V11,X11,Z11,AB11,AD11,AF11)</f>
        <v>53460.689941820616</v>
      </c>
      <c r="AI11" s="222"/>
    </row>
    <row r="12" spans="1:35" ht="10.199999999999999" customHeight="1" x14ac:dyDescent="0.2">
      <c r="A12" s="165"/>
      <c r="B12" s="141" t="s">
        <v>18</v>
      </c>
      <c r="C12" s="147" t="s">
        <v>34</v>
      </c>
      <c r="D12" s="145">
        <v>35403</v>
      </c>
      <c r="E12" s="136">
        <f t="shared" ca="1" si="0"/>
        <v>25.944444444444443</v>
      </c>
      <c r="F12" s="138">
        <f t="shared" ca="1" si="1"/>
        <v>7.1888888888888882</v>
      </c>
      <c r="G12" s="154">
        <v>27.87</v>
      </c>
      <c r="H12" s="160">
        <v>41.81</v>
      </c>
      <c r="I12" s="167">
        <v>88556.09</v>
      </c>
      <c r="J12" s="167">
        <v>156576.41</v>
      </c>
      <c r="K12" s="92">
        <v>0</v>
      </c>
      <c r="L12" s="180">
        <v>1762.5</v>
      </c>
      <c r="M12" s="225">
        <v>0</v>
      </c>
      <c r="N12" s="229">
        <v>77813.539999999994</v>
      </c>
      <c r="O12" s="229">
        <v>170576.59</v>
      </c>
      <c r="P12" s="232">
        <v>9</v>
      </c>
      <c r="R12" s="192">
        <f t="shared" si="2"/>
        <v>49120.875</v>
      </c>
      <c r="S12" s="193">
        <f t="shared" si="3"/>
        <v>0</v>
      </c>
      <c r="T12" s="165"/>
      <c r="U12" s="196" t="str">
        <f>IF(B12&lt;&gt;"","OUI","NON")</f>
        <v>OUI</v>
      </c>
      <c r="V12" s="217">
        <f>N12*0.01+O12*0.015</f>
        <v>3336.7842500000002</v>
      </c>
      <c r="W12" s="196" t="str">
        <f t="shared" si="4"/>
        <v>NON</v>
      </c>
      <c r="X12" s="220">
        <f t="shared" si="5"/>
        <v>0</v>
      </c>
      <c r="Y12" s="192" t="str">
        <f t="shared" si="6"/>
        <v>OUI</v>
      </c>
      <c r="Z12" s="220">
        <f t="shared" si="7"/>
        <v>2100.0269999999987</v>
      </c>
      <c r="AA12" s="192" t="str">
        <f t="shared" si="8"/>
        <v>OUI</v>
      </c>
      <c r="AB12" s="220">
        <f t="shared" si="9"/>
        <v>620.975325</v>
      </c>
      <c r="AC12" s="192" t="str">
        <f t="shared" si="10"/>
        <v>NON</v>
      </c>
      <c r="AD12" s="220">
        <f t="shared" si="11"/>
        <v>0</v>
      </c>
      <c r="AE12" s="192" t="str">
        <f t="shared" si="12"/>
        <v>OUI</v>
      </c>
      <c r="AF12" s="220">
        <f t="shared" si="13"/>
        <v>912.60946834675292</v>
      </c>
      <c r="AG12" s="221"/>
      <c r="AH12" s="192">
        <f>SUM(R12:S12,V12,X12,Z12,AB12,AD12,AF12)</f>
        <v>56091.271043346751</v>
      </c>
      <c r="AI12" s="222"/>
    </row>
    <row r="13" spans="1:35" ht="10.199999999999999" customHeight="1" x14ac:dyDescent="0.2">
      <c r="A13" s="165"/>
      <c r="B13" s="140" t="s">
        <v>19</v>
      </c>
      <c r="C13" s="146" t="s">
        <v>34</v>
      </c>
      <c r="D13" s="144">
        <v>33093</v>
      </c>
      <c r="E13" s="135">
        <f t="shared" ca="1" si="0"/>
        <v>32.266666666666666</v>
      </c>
      <c r="F13" s="137">
        <f t="shared" ca="1" si="1"/>
        <v>8.4533333333333331</v>
      </c>
      <c r="G13" s="153">
        <v>32.93</v>
      </c>
      <c r="H13" s="161">
        <v>49.4</v>
      </c>
      <c r="I13" s="166">
        <v>91038.77</v>
      </c>
      <c r="J13" s="166">
        <v>172168.01</v>
      </c>
      <c r="K13" s="92">
        <v>0</v>
      </c>
      <c r="L13" s="179">
        <v>1725</v>
      </c>
      <c r="M13" s="224">
        <v>39.57</v>
      </c>
      <c r="N13" s="228">
        <v>96236.12</v>
      </c>
      <c r="O13" s="228">
        <v>177509.88</v>
      </c>
      <c r="P13" s="231">
        <v>7</v>
      </c>
      <c r="R13" s="190">
        <f t="shared" si="2"/>
        <v>56804.25</v>
      </c>
      <c r="S13" s="191">
        <f t="shared" si="3"/>
        <v>1954.758</v>
      </c>
      <c r="T13" s="165"/>
      <c r="U13" s="195" t="str">
        <f>IF(B13&lt;&gt;"","OUI","NON")</f>
        <v>OUI</v>
      </c>
      <c r="V13" s="216">
        <f>N13*0.01+O13*0.015</f>
        <v>3625.0093999999999</v>
      </c>
      <c r="W13" s="195" t="str">
        <f t="shared" si="4"/>
        <v>OUI</v>
      </c>
      <c r="X13" s="219">
        <f t="shared" si="5"/>
        <v>519.7349999999991</v>
      </c>
      <c r="Y13" s="190" t="str">
        <f t="shared" si="6"/>
        <v>OUI</v>
      </c>
      <c r="Z13" s="219">
        <f t="shared" si="7"/>
        <v>801.28049999999928</v>
      </c>
      <c r="AA13" s="190" t="str">
        <f t="shared" si="8"/>
        <v>OUI</v>
      </c>
      <c r="AB13" s="219">
        <f t="shared" si="9"/>
        <v>684.36500000000001</v>
      </c>
      <c r="AC13" s="190" t="str">
        <f t="shared" si="10"/>
        <v>OUI</v>
      </c>
      <c r="AD13" s="219">
        <f t="shared" si="11"/>
        <v>737.74539999999911</v>
      </c>
      <c r="AE13" s="190" t="str">
        <f t="shared" si="12"/>
        <v>OUI</v>
      </c>
      <c r="AF13" s="219">
        <f t="shared" si="13"/>
        <v>1005.7693980113067</v>
      </c>
      <c r="AG13" s="221"/>
      <c r="AH13" s="190">
        <f>SUM(R13:S13,V13,X13,Z13,AB13,AD13,AF13)</f>
        <v>66132.912698011307</v>
      </c>
      <c r="AI13" s="222"/>
    </row>
    <row r="14" spans="1:35" ht="10.199999999999999" customHeight="1" x14ac:dyDescent="0.2">
      <c r="A14" s="165"/>
      <c r="B14" s="141" t="s">
        <v>20</v>
      </c>
      <c r="C14" s="147" t="s">
        <v>33</v>
      </c>
      <c r="D14" s="145">
        <v>37900</v>
      </c>
      <c r="E14" s="136">
        <f t="shared" ca="1" si="0"/>
        <v>19.105555555555554</v>
      </c>
      <c r="F14" s="138">
        <f t="shared" ca="1" si="1"/>
        <v>5.8211111111111107</v>
      </c>
      <c r="G14" s="154">
        <v>22.4</v>
      </c>
      <c r="H14" s="160">
        <v>33.6</v>
      </c>
      <c r="I14" s="167">
        <v>87296.23</v>
      </c>
      <c r="J14" s="167">
        <v>141450.34</v>
      </c>
      <c r="K14" s="92">
        <v>0</v>
      </c>
      <c r="L14" s="180">
        <v>1837.5</v>
      </c>
      <c r="M14" s="225">
        <v>98.2</v>
      </c>
      <c r="N14" s="229">
        <v>86363.33</v>
      </c>
      <c r="O14" s="229">
        <v>120584.13</v>
      </c>
      <c r="P14" s="232">
        <v>6</v>
      </c>
      <c r="R14" s="192">
        <f t="shared" si="2"/>
        <v>41160</v>
      </c>
      <c r="S14" s="193">
        <f t="shared" si="3"/>
        <v>3299.5200000000004</v>
      </c>
      <c r="T14" s="165"/>
      <c r="U14" s="196" t="str">
        <f>IF(B14&lt;&gt;"","OUI","NON")</f>
        <v>OUI</v>
      </c>
      <c r="V14" s="217">
        <f>N14*0.01+O14*0.015</f>
        <v>2672.39525</v>
      </c>
      <c r="W14" s="196" t="str">
        <f t="shared" si="4"/>
        <v>NON</v>
      </c>
      <c r="X14" s="220">
        <f t="shared" si="5"/>
        <v>0</v>
      </c>
      <c r="Y14" s="192" t="str">
        <f t="shared" si="6"/>
        <v>NON</v>
      </c>
      <c r="Z14" s="220">
        <f t="shared" si="7"/>
        <v>0</v>
      </c>
      <c r="AA14" s="192" t="str">
        <f t="shared" si="8"/>
        <v>OUI</v>
      </c>
      <c r="AB14" s="220">
        <f t="shared" si="9"/>
        <v>517.36865000000012</v>
      </c>
      <c r="AC14" s="192" t="str">
        <f t="shared" si="10"/>
        <v>NON</v>
      </c>
      <c r="AD14" s="220">
        <f t="shared" si="11"/>
        <v>0</v>
      </c>
      <c r="AE14" s="192" t="str">
        <f t="shared" si="12"/>
        <v>NON</v>
      </c>
      <c r="AF14" s="220">
        <f t="shared" si="13"/>
        <v>0</v>
      </c>
      <c r="AG14" s="221"/>
      <c r="AH14" s="192">
        <f>SUM(R14:S14,V14,X14,Z14,AB14,AD14,AF14)</f>
        <v>47649.283900000002</v>
      </c>
      <c r="AI14" s="222"/>
    </row>
    <row r="15" spans="1:35" ht="10.199999999999999" customHeight="1" x14ac:dyDescent="0.2">
      <c r="A15" s="165"/>
      <c r="B15" s="140" t="s">
        <v>21</v>
      </c>
      <c r="C15" s="146" t="s">
        <v>33</v>
      </c>
      <c r="D15" s="144">
        <v>35590</v>
      </c>
      <c r="E15" s="135">
        <f t="shared" ca="1" si="0"/>
        <v>25.430555555555557</v>
      </c>
      <c r="F15" s="137">
        <f t="shared" ca="1" si="1"/>
        <v>7.0861111111111112</v>
      </c>
      <c r="G15" s="153">
        <v>27.46</v>
      </c>
      <c r="H15" s="161">
        <v>41.19</v>
      </c>
      <c r="I15" s="166">
        <v>88194.9</v>
      </c>
      <c r="J15" s="166">
        <v>155011.24</v>
      </c>
      <c r="K15" s="92">
        <v>0</v>
      </c>
      <c r="L15" s="179">
        <v>1762.5</v>
      </c>
      <c r="M15" s="224">
        <v>244.14</v>
      </c>
      <c r="N15" s="228">
        <v>98812.43</v>
      </c>
      <c r="O15" s="228">
        <v>119521.7</v>
      </c>
      <c r="P15" s="231">
        <v>6</v>
      </c>
      <c r="R15" s="190">
        <f t="shared" si="2"/>
        <v>48398.25</v>
      </c>
      <c r="S15" s="191">
        <f t="shared" si="3"/>
        <v>10056.1266</v>
      </c>
      <c r="T15" s="165"/>
      <c r="U15" s="195" t="str">
        <f>IF(B15&lt;&gt;"","OUI","NON")</f>
        <v>OUI</v>
      </c>
      <c r="V15" s="216">
        <f>N15*0.01+O15*0.015</f>
        <v>2780.9497999999999</v>
      </c>
      <c r="W15" s="195" t="str">
        <f t="shared" si="4"/>
        <v>OUI</v>
      </c>
      <c r="X15" s="219">
        <f t="shared" si="5"/>
        <v>1061.7529999999999</v>
      </c>
      <c r="Y15" s="190" t="str">
        <f t="shared" si="6"/>
        <v>NON</v>
      </c>
      <c r="Z15" s="219">
        <f t="shared" si="7"/>
        <v>0</v>
      </c>
      <c r="AA15" s="190" t="str">
        <f t="shared" si="8"/>
        <v>OUI</v>
      </c>
      <c r="AB15" s="219">
        <f t="shared" si="9"/>
        <v>545.83532500000001</v>
      </c>
      <c r="AC15" s="190" t="str">
        <f t="shared" si="10"/>
        <v>NON</v>
      </c>
      <c r="AD15" s="219">
        <f t="shared" si="11"/>
        <v>0</v>
      </c>
      <c r="AE15" s="190" t="str">
        <f t="shared" si="12"/>
        <v>OUI</v>
      </c>
      <c r="AF15" s="219">
        <f t="shared" si="13"/>
        <v>802.18080445165378</v>
      </c>
      <c r="AG15" s="221"/>
      <c r="AH15" s="190">
        <f>SUM(R15:S15,V15,X15,Z15,AB15,AD15,AF15)</f>
        <v>63645.095529451653</v>
      </c>
      <c r="AI15" s="222"/>
    </row>
    <row r="16" spans="1:35" ht="10.199999999999999" customHeight="1" x14ac:dyDescent="0.2">
      <c r="A16" s="165"/>
      <c r="B16" s="141" t="s">
        <v>22</v>
      </c>
      <c r="C16" s="147" t="s">
        <v>33</v>
      </c>
      <c r="D16" s="145">
        <v>35192</v>
      </c>
      <c r="E16" s="136">
        <f t="shared" ca="1" si="0"/>
        <v>26.519444444444446</v>
      </c>
      <c r="F16" s="138">
        <f t="shared" ca="1" si="1"/>
        <v>7.3038888888888893</v>
      </c>
      <c r="G16" s="154">
        <v>28.33</v>
      </c>
      <c r="H16" s="160">
        <v>42.5</v>
      </c>
      <c r="I16" s="167">
        <v>88963.64</v>
      </c>
      <c r="J16" s="167">
        <v>158342.45000000001</v>
      </c>
      <c r="K16" s="92">
        <v>0</v>
      </c>
      <c r="L16" s="180">
        <v>1762.5</v>
      </c>
      <c r="M16" s="225">
        <v>109.39</v>
      </c>
      <c r="N16" s="229">
        <v>89879.18</v>
      </c>
      <c r="O16" s="229">
        <v>164850.17000000001</v>
      </c>
      <c r="P16" s="232">
        <v>4</v>
      </c>
      <c r="R16" s="192">
        <f t="shared" si="2"/>
        <v>49931.625</v>
      </c>
      <c r="S16" s="193">
        <f t="shared" si="3"/>
        <v>4649.0749999999998</v>
      </c>
      <c r="T16" s="165"/>
      <c r="U16" s="196" t="str">
        <f>IF(B16&lt;&gt;"","OUI","NON")</f>
        <v>OUI</v>
      </c>
      <c r="V16" s="217">
        <f>N16*0.01+O16*0.015</f>
        <v>3371.5443500000001</v>
      </c>
      <c r="W16" s="196" t="str">
        <f t="shared" si="4"/>
        <v>OUI</v>
      </c>
      <c r="X16" s="220">
        <f t="shared" si="5"/>
        <v>91.553999999999363</v>
      </c>
      <c r="Y16" s="192" t="str">
        <f t="shared" si="6"/>
        <v>OUI</v>
      </c>
      <c r="Z16" s="220">
        <f t="shared" si="7"/>
        <v>976.15800000000013</v>
      </c>
      <c r="AA16" s="192" t="str">
        <f t="shared" si="8"/>
        <v>NON</v>
      </c>
      <c r="AB16" s="220">
        <f t="shared" si="9"/>
        <v>0</v>
      </c>
      <c r="AC16" s="192" t="str">
        <f t="shared" si="10"/>
        <v>OUI</v>
      </c>
      <c r="AD16" s="220">
        <f t="shared" si="11"/>
        <v>296.93039999999979</v>
      </c>
      <c r="AE16" s="192" t="str">
        <f t="shared" si="12"/>
        <v>NON</v>
      </c>
      <c r="AF16" s="220">
        <f t="shared" si="13"/>
        <v>0</v>
      </c>
      <c r="AG16" s="221"/>
      <c r="AH16" s="192">
        <f>SUM(R16:S16,V16,X16,Z16,AB16,AD16,AF16)</f>
        <v>59316.886749999991</v>
      </c>
      <c r="AI16" s="222"/>
    </row>
    <row r="17" spans="1:35" ht="10.199999999999999" customHeight="1" x14ac:dyDescent="0.2">
      <c r="A17" s="165"/>
      <c r="B17" s="140" t="s">
        <v>23</v>
      </c>
      <c r="C17" s="146" t="s">
        <v>33</v>
      </c>
      <c r="D17" s="144">
        <v>36628</v>
      </c>
      <c r="E17" s="135">
        <f t="shared" ca="1" si="0"/>
        <v>22.588888888888889</v>
      </c>
      <c r="F17" s="137">
        <f t="shared" ca="1" si="1"/>
        <v>6.5177777777777779</v>
      </c>
      <c r="G17" s="153">
        <v>25.19</v>
      </c>
      <c r="H17" s="161">
        <v>37.78</v>
      </c>
      <c r="I17" s="166">
        <v>88023.83</v>
      </c>
      <c r="J17" s="166">
        <v>149436.59</v>
      </c>
      <c r="K17" s="92">
        <v>0</v>
      </c>
      <c r="L17" s="179">
        <v>1800</v>
      </c>
      <c r="M17" s="224">
        <v>0</v>
      </c>
      <c r="N17" s="228">
        <v>92616.29</v>
      </c>
      <c r="O17" s="228">
        <v>149766.94</v>
      </c>
      <c r="P17" s="231">
        <v>9</v>
      </c>
      <c r="R17" s="190">
        <f t="shared" si="2"/>
        <v>45342</v>
      </c>
      <c r="S17" s="191">
        <f t="shared" si="3"/>
        <v>0</v>
      </c>
      <c r="T17" s="165"/>
      <c r="U17" s="195" t="str">
        <f>IF(B17&lt;&gt;"","OUI","NON")</f>
        <v>OUI</v>
      </c>
      <c r="V17" s="216">
        <f>N17*0.01+O17*0.015</f>
        <v>3172.6669999999999</v>
      </c>
      <c r="W17" s="195" t="str">
        <f t="shared" si="4"/>
        <v>OUI</v>
      </c>
      <c r="X17" s="219">
        <f t="shared" si="5"/>
        <v>459.24599999999919</v>
      </c>
      <c r="Y17" s="190" t="str">
        <f t="shared" si="6"/>
        <v>OUI</v>
      </c>
      <c r="Z17" s="219">
        <f t="shared" si="7"/>
        <v>49.552500000000869</v>
      </c>
      <c r="AA17" s="190" t="str">
        <f t="shared" si="8"/>
        <v>OUI</v>
      </c>
      <c r="AB17" s="219">
        <f t="shared" si="9"/>
        <v>605.95807500000001</v>
      </c>
      <c r="AC17" s="190" t="str">
        <f t="shared" si="10"/>
        <v>OUI</v>
      </c>
      <c r="AD17" s="219">
        <f t="shared" si="11"/>
        <v>443.05289999999979</v>
      </c>
      <c r="AE17" s="190" t="str">
        <f t="shared" si="12"/>
        <v>OUI</v>
      </c>
      <c r="AF17" s="219">
        <f t="shared" si="13"/>
        <v>890.53953418547155</v>
      </c>
      <c r="AG17" s="221"/>
      <c r="AH17" s="190">
        <f>SUM(R17:S17,V17,X17,Z17,AB17,AD17,AF17)</f>
        <v>50963.016009185478</v>
      </c>
      <c r="AI17" s="222"/>
    </row>
    <row r="18" spans="1:35" ht="10.199999999999999" customHeight="1" x14ac:dyDescent="0.2">
      <c r="A18" s="165"/>
      <c r="B18" s="141" t="s">
        <v>24</v>
      </c>
      <c r="C18" s="147" t="s">
        <v>33</v>
      </c>
      <c r="D18" s="145">
        <v>30115</v>
      </c>
      <c r="E18" s="136">
        <f t="shared" ca="1" si="0"/>
        <v>40.419444444444444</v>
      </c>
      <c r="F18" s="138">
        <f t="shared" ca="1" si="1"/>
        <v>10.08388888888889</v>
      </c>
      <c r="G18" s="154">
        <v>39.46</v>
      </c>
      <c r="H18" s="160">
        <v>59.19</v>
      </c>
      <c r="I18" s="167">
        <v>92465.44</v>
      </c>
      <c r="J18" s="167">
        <v>188016.91</v>
      </c>
      <c r="K18" s="92">
        <v>0</v>
      </c>
      <c r="L18" s="180">
        <v>1650</v>
      </c>
      <c r="M18" s="225">
        <v>143.27000000000001</v>
      </c>
      <c r="N18" s="229">
        <v>86538.68</v>
      </c>
      <c r="O18" s="229">
        <v>168507.1</v>
      </c>
      <c r="P18" s="232">
        <v>5</v>
      </c>
      <c r="R18" s="192">
        <f t="shared" si="2"/>
        <v>65109</v>
      </c>
      <c r="S18" s="193">
        <f t="shared" si="3"/>
        <v>8480.1512999999995</v>
      </c>
      <c r="T18" s="165"/>
      <c r="U18" s="196" t="str">
        <f>IF(B18&lt;&gt;"","OUI","NON")</f>
        <v>OUI</v>
      </c>
      <c r="V18" s="217">
        <f>N18*0.01+O18*0.015</f>
        <v>3392.9933000000001</v>
      </c>
      <c r="W18" s="196" t="str">
        <f t="shared" si="4"/>
        <v>NON</v>
      </c>
      <c r="X18" s="220">
        <f t="shared" si="5"/>
        <v>0</v>
      </c>
      <c r="Y18" s="192" t="str">
        <f t="shared" si="6"/>
        <v>NON</v>
      </c>
      <c r="Z18" s="220">
        <f t="shared" si="7"/>
        <v>0</v>
      </c>
      <c r="AA18" s="192" t="str">
        <f t="shared" si="8"/>
        <v>NON</v>
      </c>
      <c r="AB18" s="220">
        <f t="shared" si="9"/>
        <v>0</v>
      </c>
      <c r="AC18" s="192" t="str">
        <f t="shared" si="10"/>
        <v>NON</v>
      </c>
      <c r="AD18" s="220">
        <f t="shared" si="11"/>
        <v>0</v>
      </c>
      <c r="AE18" s="192" t="str">
        <f t="shared" si="12"/>
        <v>NON</v>
      </c>
      <c r="AF18" s="220">
        <f t="shared" si="13"/>
        <v>0</v>
      </c>
      <c r="AG18" s="221"/>
      <c r="AH18" s="192">
        <f>SUM(R18:S18,V18,X18,Z18,AB18,AD18,AF18)</f>
        <v>76982.1446</v>
      </c>
      <c r="AI18" s="222"/>
    </row>
    <row r="19" spans="1:35" ht="10.199999999999999" customHeight="1" x14ac:dyDescent="0.2">
      <c r="A19" s="165"/>
      <c r="B19" s="140" t="s">
        <v>25</v>
      </c>
      <c r="C19" s="146" t="s">
        <v>33</v>
      </c>
      <c r="D19" s="144">
        <v>30116</v>
      </c>
      <c r="E19" s="135">
        <f t="shared" ca="1" si="0"/>
        <v>40.416666666666664</v>
      </c>
      <c r="F19" s="137">
        <f t="shared" ca="1" si="1"/>
        <v>10.083333333333332</v>
      </c>
      <c r="G19" s="153">
        <v>15.1</v>
      </c>
      <c r="H19" s="161">
        <v>22.64</v>
      </c>
      <c r="I19" s="166">
        <v>82233.27</v>
      </c>
      <c r="J19" s="166">
        <v>114677.5</v>
      </c>
      <c r="K19" s="92">
        <v>0</v>
      </c>
      <c r="L19" s="179">
        <v>1875</v>
      </c>
      <c r="M19" s="224">
        <v>0</v>
      </c>
      <c r="N19" s="228">
        <v>74240.86</v>
      </c>
      <c r="O19" s="228">
        <v>112740.09</v>
      </c>
      <c r="P19" s="231">
        <v>5</v>
      </c>
      <c r="R19" s="190">
        <f t="shared" si="2"/>
        <v>28312.5</v>
      </c>
      <c r="S19" s="191">
        <f t="shared" si="3"/>
        <v>0</v>
      </c>
      <c r="T19" s="165"/>
      <c r="U19" s="195" t="str">
        <f>IF(B19&lt;&gt;"","OUI","NON")</f>
        <v>OUI</v>
      </c>
      <c r="V19" s="216">
        <f>N19*0.01+O19*0.015</f>
        <v>2433.5099499999997</v>
      </c>
      <c r="W19" s="195" t="str">
        <f t="shared" si="4"/>
        <v>NON</v>
      </c>
      <c r="X19" s="219">
        <f t="shared" si="5"/>
        <v>0</v>
      </c>
      <c r="Y19" s="190" t="str">
        <f t="shared" si="6"/>
        <v>NON</v>
      </c>
      <c r="Z19" s="219">
        <f t="shared" si="7"/>
        <v>0</v>
      </c>
      <c r="AA19" s="190" t="str">
        <f t="shared" si="8"/>
        <v>NON</v>
      </c>
      <c r="AB19" s="219">
        <f t="shared" si="9"/>
        <v>0</v>
      </c>
      <c r="AC19" s="190" t="str">
        <f t="shared" si="10"/>
        <v>NON</v>
      </c>
      <c r="AD19" s="219">
        <f t="shared" si="11"/>
        <v>0</v>
      </c>
      <c r="AE19" s="190" t="str">
        <f t="shared" si="12"/>
        <v>NON</v>
      </c>
      <c r="AF19" s="219">
        <f t="shared" si="13"/>
        <v>0</v>
      </c>
      <c r="AG19" s="221"/>
      <c r="AH19" s="190">
        <f>SUM(R19:S19,V19,X19,Z19,AB19,AD19,AF19)</f>
        <v>30746.00995</v>
      </c>
      <c r="AI19" s="222"/>
    </row>
    <row r="20" spans="1:35" ht="10.199999999999999" customHeight="1" x14ac:dyDescent="0.2">
      <c r="A20" s="165"/>
      <c r="B20" s="141" t="s">
        <v>26</v>
      </c>
      <c r="C20" s="147" t="s">
        <v>34</v>
      </c>
      <c r="D20" s="145">
        <v>31824</v>
      </c>
      <c r="E20" s="136">
        <f t="shared" ca="1" si="0"/>
        <v>35.744444444444447</v>
      </c>
      <c r="F20" s="138">
        <f t="shared" ca="1" si="1"/>
        <v>9.1488888888888891</v>
      </c>
      <c r="G20" s="154">
        <v>35.71</v>
      </c>
      <c r="H20" s="160">
        <v>53.57</v>
      </c>
      <c r="I20" s="167">
        <v>91406.45</v>
      </c>
      <c r="J20" s="167">
        <v>178594.61</v>
      </c>
      <c r="K20" s="92">
        <v>0</v>
      </c>
      <c r="L20" s="180">
        <v>1687.5</v>
      </c>
      <c r="M20" s="225">
        <v>145.13</v>
      </c>
      <c r="N20" s="229">
        <v>90744.11</v>
      </c>
      <c r="O20" s="229">
        <v>180217.79</v>
      </c>
      <c r="P20" s="232">
        <v>9</v>
      </c>
      <c r="R20" s="192">
        <f t="shared" si="2"/>
        <v>60260.625</v>
      </c>
      <c r="S20" s="193">
        <f t="shared" si="3"/>
        <v>7774.6140999999998</v>
      </c>
      <c r="T20" s="165"/>
      <c r="U20" s="196" t="str">
        <f>IF(B20&lt;&gt;"","OUI","NON")</f>
        <v>OUI</v>
      </c>
      <c r="V20" s="217">
        <f>N20*0.01+O20*0.015</f>
        <v>3610.70795</v>
      </c>
      <c r="W20" s="196" t="str">
        <f t="shared" si="4"/>
        <v>NON</v>
      </c>
      <c r="X20" s="220">
        <f t="shared" si="5"/>
        <v>0</v>
      </c>
      <c r="Y20" s="192" t="str">
        <f t="shared" si="6"/>
        <v>OUI</v>
      </c>
      <c r="Z20" s="220">
        <f t="shared" si="7"/>
        <v>243.4770000000033</v>
      </c>
      <c r="AA20" s="192" t="str">
        <f t="shared" si="8"/>
        <v>OUI</v>
      </c>
      <c r="AB20" s="220">
        <f t="shared" si="9"/>
        <v>677.40475000000004</v>
      </c>
      <c r="AC20" s="192" t="str">
        <f t="shared" si="10"/>
        <v>NON</v>
      </c>
      <c r="AD20" s="220">
        <f t="shared" si="11"/>
        <v>0</v>
      </c>
      <c r="AE20" s="192" t="str">
        <f t="shared" si="12"/>
        <v>OUI</v>
      </c>
      <c r="AF20" s="220">
        <f t="shared" si="13"/>
        <v>995.54034414018804</v>
      </c>
      <c r="AG20" s="221"/>
      <c r="AH20" s="192">
        <f>SUM(R20:S20,V20,X20,Z20,AB20,AD20,AF20)</f>
        <v>73562.36914414019</v>
      </c>
      <c r="AI20" s="222"/>
    </row>
    <row r="21" spans="1:35" ht="10.199999999999999" customHeight="1" x14ac:dyDescent="0.2">
      <c r="A21" s="165"/>
      <c r="B21" s="140" t="s">
        <v>27</v>
      </c>
      <c r="C21" s="146" t="s">
        <v>34</v>
      </c>
      <c r="D21" s="144">
        <v>38150</v>
      </c>
      <c r="E21" s="135">
        <f t="shared" ca="1" si="0"/>
        <v>18.422222222222221</v>
      </c>
      <c r="F21" s="137">
        <f t="shared" ca="1" si="1"/>
        <v>5.684444444444444</v>
      </c>
      <c r="G21" s="153">
        <v>21.85</v>
      </c>
      <c r="H21" s="161">
        <v>32.770000000000003</v>
      </c>
      <c r="I21" s="166">
        <v>86792.81</v>
      </c>
      <c r="J21" s="166">
        <v>139268.84</v>
      </c>
      <c r="K21" s="92">
        <v>0</v>
      </c>
      <c r="L21" s="179">
        <v>1837.5</v>
      </c>
      <c r="M21" s="224">
        <v>191.85</v>
      </c>
      <c r="N21" s="228">
        <v>92277.83</v>
      </c>
      <c r="O21" s="228">
        <v>139124.15</v>
      </c>
      <c r="P21" s="231">
        <v>3</v>
      </c>
      <c r="R21" s="190">
        <f t="shared" si="2"/>
        <v>40149.375</v>
      </c>
      <c r="S21" s="191">
        <f t="shared" si="3"/>
        <v>6286.9245000000001</v>
      </c>
      <c r="T21" s="165"/>
      <c r="U21" s="195" t="str">
        <f>IF(B21&lt;&gt;"","OUI","NON")</f>
        <v>OUI</v>
      </c>
      <c r="V21" s="216">
        <f>N21*0.01+O21*0.015</f>
        <v>3009.6405499999996</v>
      </c>
      <c r="W21" s="195" t="str">
        <f t="shared" si="4"/>
        <v>OUI</v>
      </c>
      <c r="X21" s="219">
        <f t="shared" si="5"/>
        <v>548.50200000000041</v>
      </c>
      <c r="Y21" s="190" t="str">
        <f t="shared" si="6"/>
        <v>NON</v>
      </c>
      <c r="Z21" s="219">
        <f t="shared" si="7"/>
        <v>0</v>
      </c>
      <c r="AA21" s="190" t="str">
        <f t="shared" si="8"/>
        <v>NON</v>
      </c>
      <c r="AB21" s="219">
        <f t="shared" si="9"/>
        <v>0</v>
      </c>
      <c r="AC21" s="190" t="str">
        <f t="shared" si="10"/>
        <v>NON</v>
      </c>
      <c r="AD21" s="219">
        <f t="shared" si="11"/>
        <v>0</v>
      </c>
      <c r="AE21" s="190" t="str">
        <f t="shared" si="12"/>
        <v>NON</v>
      </c>
      <c r="AF21" s="219">
        <f t="shared" si="13"/>
        <v>0</v>
      </c>
      <c r="AG21" s="221"/>
      <c r="AH21" s="190">
        <f>SUM(R21:S21,V21,X21,Z21,AB21,AD21,AF21)</f>
        <v>49994.442049999998</v>
      </c>
      <c r="AI21" s="222"/>
    </row>
    <row r="22" spans="1:35" ht="10.199999999999999" customHeight="1" x14ac:dyDescent="0.2">
      <c r="A22" s="165"/>
      <c r="B22" s="141" t="s">
        <v>28</v>
      </c>
      <c r="C22" s="147" t="s">
        <v>33</v>
      </c>
      <c r="D22" s="145">
        <v>32891</v>
      </c>
      <c r="E22" s="136">
        <f t="shared" ca="1" si="0"/>
        <v>32.822222222222223</v>
      </c>
      <c r="F22" s="138">
        <f t="shared" ca="1" si="1"/>
        <v>8.5644444444444439</v>
      </c>
      <c r="G22" s="154">
        <v>33.380000000000003</v>
      </c>
      <c r="H22" s="160">
        <v>50.06</v>
      </c>
      <c r="I22" s="167">
        <v>91420.63</v>
      </c>
      <c r="J22" s="167">
        <v>173822.75</v>
      </c>
      <c r="K22" s="92">
        <v>0</v>
      </c>
      <c r="L22" s="180">
        <v>1725</v>
      </c>
      <c r="M22" s="225">
        <v>150.72</v>
      </c>
      <c r="N22" s="229">
        <v>80527.14</v>
      </c>
      <c r="O22" s="229">
        <v>181545.58</v>
      </c>
      <c r="P22" s="232">
        <v>5</v>
      </c>
      <c r="R22" s="192">
        <f t="shared" si="2"/>
        <v>57580.500000000007</v>
      </c>
      <c r="S22" s="193">
        <f t="shared" si="3"/>
        <v>7545.0432000000001</v>
      </c>
      <c r="T22" s="165"/>
      <c r="U22" s="196" t="str">
        <f>IF(B22&lt;&gt;"","OUI","NON")</f>
        <v>OUI</v>
      </c>
      <c r="V22" s="217">
        <f>N22*0.01+O22*0.015</f>
        <v>3528.4550999999997</v>
      </c>
      <c r="W22" s="196" t="str">
        <f t="shared" si="4"/>
        <v>NON</v>
      </c>
      <c r="X22" s="220">
        <f t="shared" si="5"/>
        <v>0</v>
      </c>
      <c r="Y22" s="192" t="str">
        <f t="shared" si="6"/>
        <v>OUI</v>
      </c>
      <c r="Z22" s="220">
        <f t="shared" si="7"/>
        <v>1158.424499999998</v>
      </c>
      <c r="AA22" s="192" t="str">
        <f t="shared" si="8"/>
        <v>NON</v>
      </c>
      <c r="AB22" s="220">
        <f t="shared" si="9"/>
        <v>0</v>
      </c>
      <c r="AC22" s="192" t="str">
        <f t="shared" si="10"/>
        <v>NON</v>
      </c>
      <c r="AD22" s="220">
        <f t="shared" si="11"/>
        <v>0</v>
      </c>
      <c r="AE22" s="192" t="str">
        <f t="shared" si="12"/>
        <v>NON</v>
      </c>
      <c r="AF22" s="220">
        <f t="shared" si="13"/>
        <v>0</v>
      </c>
      <c r="AG22" s="221"/>
      <c r="AH22" s="192">
        <f>SUM(R22:S22,V22,X22,Z22,AB22,AD22,AF22)</f>
        <v>69812.4228</v>
      </c>
      <c r="AI22" s="222"/>
    </row>
    <row r="23" spans="1:35" ht="10.199999999999999" customHeight="1" x14ac:dyDescent="0.2">
      <c r="A23" s="165"/>
      <c r="B23" s="140" t="s">
        <v>29</v>
      </c>
      <c r="C23" s="146" t="s">
        <v>34</v>
      </c>
      <c r="D23" s="144">
        <v>41102</v>
      </c>
      <c r="E23" s="135">
        <f t="shared" ca="1" si="0"/>
        <v>10.338888888888889</v>
      </c>
      <c r="F23" s="137">
        <f t="shared" ca="1" si="1"/>
        <v>4.0677777777777777</v>
      </c>
      <c r="G23" s="153">
        <v>15.38</v>
      </c>
      <c r="H23" s="161">
        <v>23.07</v>
      </c>
      <c r="I23" s="166">
        <v>82498.34</v>
      </c>
      <c r="J23" s="166">
        <v>115826.13</v>
      </c>
      <c r="K23" s="92">
        <v>0</v>
      </c>
      <c r="L23" s="179">
        <v>1875</v>
      </c>
      <c r="M23" s="224">
        <v>159.16999999999999</v>
      </c>
      <c r="N23" s="228">
        <v>73878.58</v>
      </c>
      <c r="O23" s="228">
        <v>125469.62</v>
      </c>
      <c r="P23" s="231">
        <v>9</v>
      </c>
      <c r="R23" s="190">
        <f t="shared" si="2"/>
        <v>28837.5</v>
      </c>
      <c r="S23" s="191">
        <f t="shared" si="3"/>
        <v>3672.0518999999999</v>
      </c>
      <c r="T23" s="165"/>
      <c r="U23" s="195" t="str">
        <f>IF(B23&lt;&gt;"","OUI","NON")</f>
        <v>OUI</v>
      </c>
      <c r="V23" s="216">
        <f>N23*0.01+O23*0.015</f>
        <v>2620.8300999999997</v>
      </c>
      <c r="W23" s="195" t="str">
        <f t="shared" si="4"/>
        <v>NON</v>
      </c>
      <c r="X23" s="219">
        <f t="shared" si="5"/>
        <v>0</v>
      </c>
      <c r="Y23" s="190" t="str">
        <f t="shared" si="6"/>
        <v>OUI</v>
      </c>
      <c r="Z23" s="219">
        <f t="shared" si="7"/>
        <v>1446.5234999999986</v>
      </c>
      <c r="AA23" s="190" t="str">
        <f t="shared" si="8"/>
        <v>OUI</v>
      </c>
      <c r="AB23" s="219">
        <f t="shared" si="9"/>
        <v>498.37050000000005</v>
      </c>
      <c r="AC23" s="190" t="str">
        <f t="shared" si="10"/>
        <v>NON</v>
      </c>
      <c r="AD23" s="219">
        <f t="shared" si="11"/>
        <v>0</v>
      </c>
      <c r="AE23" s="190" t="str">
        <f t="shared" si="12"/>
        <v>OUI</v>
      </c>
      <c r="AF23" s="219">
        <f t="shared" si="13"/>
        <v>732.42465317717006</v>
      </c>
      <c r="AG23" s="221"/>
      <c r="AH23" s="190">
        <f>SUM(R23:S23,V23,X23,Z23,AB23,AD23,AF23)</f>
        <v>37807.700653177162</v>
      </c>
      <c r="AI23" s="222"/>
    </row>
    <row r="24" spans="1:35" ht="10.199999999999999" customHeight="1" x14ac:dyDescent="0.2">
      <c r="A24" s="165"/>
      <c r="B24" s="142" t="s">
        <v>30</v>
      </c>
      <c r="C24" s="148" t="s">
        <v>34</v>
      </c>
      <c r="D24" s="145">
        <v>41103</v>
      </c>
      <c r="E24" s="136">
        <f t="shared" ca="1" si="0"/>
        <v>10.33611111111111</v>
      </c>
      <c r="F24" s="138">
        <f t="shared" ca="1" si="1"/>
        <v>4.0672222222222221</v>
      </c>
      <c r="G24" s="154">
        <v>40.880000000000003</v>
      </c>
      <c r="H24" s="160">
        <v>61.33</v>
      </c>
      <c r="I24" s="167">
        <v>93640.78</v>
      </c>
      <c r="J24" s="167">
        <v>193110.06</v>
      </c>
      <c r="K24" s="92">
        <v>0</v>
      </c>
      <c r="L24" s="180">
        <v>1650</v>
      </c>
      <c r="M24" s="225">
        <v>0</v>
      </c>
      <c r="N24" s="229">
        <v>83732.44</v>
      </c>
      <c r="O24" s="229">
        <v>208951.82</v>
      </c>
      <c r="P24" s="232">
        <v>2</v>
      </c>
      <c r="R24" s="192">
        <f t="shared" si="2"/>
        <v>67452</v>
      </c>
      <c r="S24" s="193">
        <f t="shared" si="3"/>
        <v>0</v>
      </c>
      <c r="T24" s="165"/>
      <c r="U24" s="196" t="str">
        <f>IF(B24&lt;&gt;"","OUI","NON")</f>
        <v>OUI</v>
      </c>
      <c r="V24" s="217">
        <f>N24*0.01+O24*0.015</f>
        <v>3971.6017000000002</v>
      </c>
      <c r="W24" s="196" t="str">
        <f t="shared" si="4"/>
        <v>NON</v>
      </c>
      <c r="X24" s="220">
        <f t="shared" si="5"/>
        <v>0</v>
      </c>
      <c r="Y24" s="192" t="str">
        <f t="shared" si="6"/>
        <v>OUI</v>
      </c>
      <c r="Z24" s="220">
        <f t="shared" si="7"/>
        <v>2376.2640000000015</v>
      </c>
      <c r="AA24" s="192" t="str">
        <f t="shared" si="8"/>
        <v>NON</v>
      </c>
      <c r="AB24" s="220">
        <f t="shared" si="9"/>
        <v>0</v>
      </c>
      <c r="AC24" s="192" t="str">
        <f t="shared" si="10"/>
        <v>NON</v>
      </c>
      <c r="AD24" s="220">
        <f t="shared" si="11"/>
        <v>0</v>
      </c>
      <c r="AE24" s="192" t="str">
        <f t="shared" si="12"/>
        <v>NON</v>
      </c>
      <c r="AF24" s="220">
        <f t="shared" si="13"/>
        <v>0</v>
      </c>
      <c r="AG24" s="221"/>
      <c r="AH24" s="192">
        <f>SUM(R24:S24,V24,X24,Z24,AB24,AD24,AF24)</f>
        <v>73799.865699999995</v>
      </c>
      <c r="AI24" s="222"/>
    </row>
    <row r="25" spans="1:35" ht="10.199999999999999" customHeight="1" thickBot="1" x14ac:dyDescent="0.25">
      <c r="A25" s="165"/>
      <c r="B25" s="143" t="s">
        <v>31</v>
      </c>
      <c r="C25" s="149" t="s">
        <v>34</v>
      </c>
      <c r="D25" s="144">
        <v>30711</v>
      </c>
      <c r="E25" s="135">
        <f t="shared" ca="1" si="0"/>
        <v>38.788888888888891</v>
      </c>
      <c r="F25" s="137">
        <f t="shared" ca="1" si="1"/>
        <v>9.757777777777779</v>
      </c>
      <c r="G25" s="155">
        <v>38.15</v>
      </c>
      <c r="H25" s="162">
        <v>57.23</v>
      </c>
      <c r="I25" s="168">
        <v>93464.74</v>
      </c>
      <c r="J25" s="166">
        <v>187513.86</v>
      </c>
      <c r="K25" s="92">
        <v>0</v>
      </c>
      <c r="L25" s="179">
        <v>1687.5</v>
      </c>
      <c r="M25" s="224">
        <v>226.41</v>
      </c>
      <c r="N25" s="228">
        <v>98278.63</v>
      </c>
      <c r="O25" s="228">
        <v>171337.91</v>
      </c>
      <c r="P25" s="231">
        <v>5</v>
      </c>
      <c r="R25" s="190">
        <f t="shared" si="2"/>
        <v>64378.125</v>
      </c>
      <c r="S25" s="191">
        <f t="shared" si="3"/>
        <v>12957.444299999999</v>
      </c>
      <c r="T25" s="165"/>
      <c r="U25" s="195" t="str">
        <f>IF(B25&lt;&gt;"","OUI","NON")</f>
        <v>OUI</v>
      </c>
      <c r="V25" s="216">
        <f>N25*0.01+O25*0.015</f>
        <v>3552.8549500000004</v>
      </c>
      <c r="W25" s="195" t="str">
        <f t="shared" si="4"/>
        <v>OUI</v>
      </c>
      <c r="X25" s="219">
        <f t="shared" si="5"/>
        <v>481.38899999999995</v>
      </c>
      <c r="Y25" s="190" t="str">
        <f t="shared" si="6"/>
        <v>NON</v>
      </c>
      <c r="Z25" s="219">
        <f t="shared" si="7"/>
        <v>0</v>
      </c>
      <c r="AA25" s="190" t="str">
        <f t="shared" si="8"/>
        <v>NON</v>
      </c>
      <c r="AB25" s="219">
        <f t="shared" si="9"/>
        <v>0</v>
      </c>
      <c r="AC25" s="190" t="str">
        <f t="shared" si="10"/>
        <v>NON</v>
      </c>
      <c r="AD25" s="219">
        <f t="shared" si="11"/>
        <v>0</v>
      </c>
      <c r="AE25" s="190" t="str">
        <f t="shared" si="12"/>
        <v>NON</v>
      </c>
      <c r="AF25" s="219">
        <f t="shared" si="13"/>
        <v>0</v>
      </c>
      <c r="AG25" s="221"/>
      <c r="AH25" s="190">
        <f>SUM(R25:S25,V25,X25,Z25,AB25,AD25,AF25)</f>
        <v>81369.813249999992</v>
      </c>
      <c r="AI25" s="222"/>
    </row>
    <row r="26" spans="1:35" ht="10.199999999999999" customHeight="1" thickTop="1" x14ac:dyDescent="0.2">
      <c r="B26" s="127"/>
      <c r="C26" s="128"/>
      <c r="D26" s="129"/>
      <c r="E26" s="130"/>
      <c r="F26" s="139"/>
      <c r="G26" s="139"/>
      <c r="H26" s="139"/>
      <c r="I26" s="164">
        <f>SUM(I9:I25)</f>
        <v>1508346.0400000003</v>
      </c>
      <c r="J26" s="164">
        <f>SUM(J9:J25)</f>
        <v>2659832.84</v>
      </c>
      <c r="L26" s="184"/>
      <c r="M26" s="226"/>
      <c r="N26" s="229">
        <f>SUM(N9:N25)</f>
        <v>1486480.73</v>
      </c>
      <c r="O26" s="229">
        <f>SUM(O9:O25)</f>
        <v>2596154.92</v>
      </c>
      <c r="P26" s="184"/>
      <c r="R26" s="197">
        <f>SUM(R9:R25)</f>
        <v>832655.625</v>
      </c>
      <c r="S26" s="198">
        <f>SUM(S9:S25)</f>
        <v>67960.128899999996</v>
      </c>
      <c r="V26" s="218">
        <f>SUM(V9:V25)</f>
        <v>53807.131099999991</v>
      </c>
      <c r="W26" s="184"/>
      <c r="X26" s="220">
        <f>SUM(X9:X24)</f>
        <v>4178.3439999999973</v>
      </c>
      <c r="Y26" s="201"/>
      <c r="Z26" s="220">
        <f>SUM(Z9:Z25)</f>
        <v>9516.9704999999994</v>
      </c>
      <c r="AA26" s="201"/>
      <c r="AB26" s="220">
        <f>SUM(AB9:AB25)</f>
        <v>5241.0172250000005</v>
      </c>
      <c r="AC26" s="201"/>
      <c r="AD26" s="220">
        <f>SUM(AD9:AD25)</f>
        <v>1477.7286999999988</v>
      </c>
      <c r="AE26" s="201"/>
      <c r="AF26" s="220">
        <f>SUM(AF9:AF25)</f>
        <v>6942.057503955808</v>
      </c>
      <c r="AG26" s="221"/>
      <c r="AH26" s="192">
        <f>SUM(AH9:AH25)</f>
        <v>982260.3919289558</v>
      </c>
      <c r="AI26" s="222"/>
    </row>
    <row r="27" spans="1:35" ht="10.199999999999999" customHeight="1" x14ac:dyDescent="0.2">
      <c r="AD27" s="187"/>
      <c r="AE27" s="187"/>
      <c r="AF27" s="187"/>
      <c r="AG27" s="187"/>
      <c r="AH27" s="187"/>
    </row>
    <row r="28" spans="1:35" ht="10.199999999999999" customHeight="1" x14ac:dyDescent="0.2">
      <c r="A28" s="165"/>
      <c r="B28" s="173" t="s">
        <v>12</v>
      </c>
      <c r="C28" s="172"/>
      <c r="D28" s="176"/>
      <c r="E28" s="173" t="s">
        <v>49</v>
      </c>
      <c r="F28" s="176"/>
      <c r="G28" s="173" t="s">
        <v>12</v>
      </c>
      <c r="H28" s="172"/>
      <c r="I28" s="172"/>
      <c r="J28" s="172"/>
      <c r="K28" s="172"/>
      <c r="L28" s="172"/>
      <c r="M28" s="172"/>
      <c r="N28" s="172"/>
      <c r="O28" s="172"/>
      <c r="P28" s="176"/>
      <c r="Q28" s="202"/>
      <c r="R28" s="178" t="s">
        <v>13</v>
      </c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205"/>
    </row>
    <row r="29" spans="1:35" x14ac:dyDescent="0.2">
      <c r="A29" s="165"/>
      <c r="B29" s="174"/>
      <c r="C29" s="175"/>
      <c r="D29" s="177"/>
      <c r="E29" s="174"/>
      <c r="F29" s="177"/>
      <c r="G29" s="174"/>
      <c r="H29" s="175"/>
      <c r="I29" s="175"/>
      <c r="J29" s="175"/>
      <c r="K29" s="175"/>
      <c r="L29" s="175"/>
      <c r="M29" s="175"/>
      <c r="N29" s="175"/>
      <c r="O29" s="175"/>
      <c r="P29" s="177"/>
      <c r="Q29" s="202"/>
      <c r="R29" s="203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6"/>
    </row>
    <row r="30" spans="1:35" ht="10.199999999999999" customHeight="1" x14ac:dyDescent="0.2"/>
    <row r="31" spans="1:35" ht="10.199999999999999" customHeight="1" x14ac:dyDescent="0.2"/>
    <row r="32" spans="1:35" ht="10.199999999999999" customHeight="1" x14ac:dyDescent="0.2"/>
    <row r="33" ht="10.199999999999999" customHeight="1" x14ac:dyDescent="0.2"/>
  </sheetData>
  <mergeCells count="27">
    <mergeCell ref="R28:AH29"/>
    <mergeCell ref="AH7:AH8"/>
    <mergeCell ref="B1:AH2"/>
    <mergeCell ref="B3:AH3"/>
    <mergeCell ref="R5:AH6"/>
    <mergeCell ref="R7:S7"/>
    <mergeCell ref="U7:V7"/>
    <mergeCell ref="W7:X7"/>
    <mergeCell ref="Y7:Z7"/>
    <mergeCell ref="AA7:AB7"/>
    <mergeCell ref="AC7:AD7"/>
    <mergeCell ref="AE7:AF7"/>
    <mergeCell ref="B28:D29"/>
    <mergeCell ref="E28:F29"/>
    <mergeCell ref="G28:P29"/>
    <mergeCell ref="B5:J6"/>
    <mergeCell ref="L7:M7"/>
    <mergeCell ref="N7:O7"/>
    <mergeCell ref="L5:P6"/>
    <mergeCell ref="P7:P8"/>
    <mergeCell ref="B7:B8"/>
    <mergeCell ref="G7:H7"/>
    <mergeCell ref="C7:C8"/>
    <mergeCell ref="D7:D8"/>
    <mergeCell ref="E7:E8"/>
    <mergeCell ref="F7:F8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42578125" style="69" customWidth="1"/>
    <col min="3" max="3" width="42.85546875" style="69" customWidth="1"/>
    <col min="4" max="4" width="128.42578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0.8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0.8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Benjamin Joinvil</cp:lastModifiedBy>
  <dcterms:created xsi:type="dcterms:W3CDTF">2011-03-30T03:31:33Z</dcterms:created>
  <dcterms:modified xsi:type="dcterms:W3CDTF">2022-11-15T01:28:59Z</dcterms:modified>
</cp:coreProperties>
</file>