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SEPTIEMBRE 2025\"/>
    </mc:Choice>
  </mc:AlternateContent>
  <xr:revisionPtr revIDLastSave="0" documentId="13_ncr:1_{94B2F994-08A5-42F6-8A3F-3145EBB372EB}" xr6:coauthVersionLast="47" xr6:coauthVersionMax="47" xr10:uidLastSave="{00000000-0000-0000-0000-000000000000}"/>
  <bookViews>
    <workbookView xWindow="-120" yWindow="-120" windowWidth="15600" windowHeight="11160" tabRatio="846" firstSheet="1" activeTab="1"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'!$C$8:$L$561</definedName>
    <definedName name="_xlnm._FilterDatabase" localSheetId="2" hidden="1">VENTAS!$C$9:$I$103</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96" i="2" l="1"/>
  <c r="F278" i="2"/>
  <c r="G544" i="2"/>
  <c r="G77" i="2"/>
  <c r="G61" i="2"/>
  <c r="G43" i="2"/>
  <c r="E97" i="10"/>
  <c r="E98" i="10"/>
  <c r="L541" i="2"/>
  <c r="L540" i="2"/>
  <c r="E95" i="10"/>
  <c r="E94" i="10"/>
  <c r="L525" i="2"/>
  <c r="L524" i="2"/>
  <c r="E92" i="10"/>
  <c r="E91" i="10"/>
  <c r="L508" i="2"/>
  <c r="L507" i="2"/>
  <c r="E89" i="10"/>
  <c r="E88" i="10"/>
  <c r="L491" i="2"/>
  <c r="L490" i="2"/>
  <c r="E86" i="10"/>
  <c r="E85" i="10"/>
  <c r="L474" i="2"/>
  <c r="L473" i="2"/>
  <c r="L475" i="2" s="1"/>
  <c r="E82" i="10"/>
  <c r="L457" i="2"/>
  <c r="L526" i="2" l="1"/>
  <c r="L456" i="2"/>
  <c r="L458" i="2" s="1"/>
  <c r="E11" i="10" l="1"/>
  <c r="E80" i="10"/>
  <c r="E79" i="10"/>
  <c r="L443" i="2"/>
  <c r="L442" i="2"/>
  <c r="L441" i="2"/>
  <c r="E77" i="10"/>
  <c r="E76" i="10"/>
  <c r="L423" i="2"/>
  <c r="L422" i="2"/>
  <c r="E74" i="10"/>
  <c r="E73" i="10"/>
  <c r="L406" i="2"/>
  <c r="L405" i="2"/>
  <c r="L424" i="2" l="1"/>
  <c r="D130" i="16"/>
  <c r="L387" i="2"/>
  <c r="E70" i="10"/>
  <c r="L386" i="2"/>
  <c r="E68" i="10"/>
  <c r="E67" i="10"/>
  <c r="L369" i="2"/>
  <c r="L368" i="2"/>
  <c r="E65" i="10"/>
  <c r="E64" i="10"/>
  <c r="L349" i="2"/>
  <c r="L348" i="2"/>
  <c r="E62" i="10"/>
  <c r="E61" i="10"/>
  <c r="L331" i="2"/>
  <c r="L330" i="2"/>
  <c r="E58" i="10"/>
  <c r="L313" i="2"/>
  <c r="L312" i="2"/>
  <c r="L314" i="2" s="1"/>
  <c r="F315" i="2"/>
  <c r="I315" i="2"/>
  <c r="L388" i="2" l="1"/>
  <c r="E56" i="10"/>
  <c r="E55" i="10"/>
  <c r="L295" i="2"/>
  <c r="L294" i="2"/>
  <c r="L293" i="2"/>
  <c r="E53" i="10"/>
  <c r="E52" i="10"/>
  <c r="L276" i="2"/>
  <c r="L275" i="2"/>
  <c r="E50" i="10"/>
  <c r="E49" i="10"/>
  <c r="L258" i="2"/>
  <c r="L257" i="2"/>
  <c r="E47" i="10" l="1"/>
  <c r="E46" i="10"/>
  <c r="L238" i="2"/>
  <c r="L237" i="2"/>
  <c r="E44" i="10"/>
  <c r="E43" i="10"/>
  <c r="D76" i="16"/>
  <c r="L220" i="2"/>
  <c r="L219" i="2"/>
  <c r="E41" i="10"/>
  <c r="E40" i="10"/>
  <c r="L199" i="2"/>
  <c r="L198" i="2"/>
  <c r="L239" i="2" l="1"/>
  <c r="L200" i="2"/>
  <c r="E38" i="10"/>
  <c r="E37" i="10"/>
  <c r="L180" i="2"/>
  <c r="L181" i="2"/>
  <c r="E29" i="10"/>
  <c r="E35" i="10"/>
  <c r="E34" i="10"/>
  <c r="L165" i="2"/>
  <c r="L164" i="2"/>
  <c r="L166" i="2" l="1"/>
  <c r="L182" i="2"/>
  <c r="E32" i="10"/>
  <c r="E31" i="10"/>
  <c r="L146" i="2"/>
  <c r="G148" i="2"/>
  <c r="L145" i="2"/>
  <c r="D34" i="16"/>
  <c r="E28" i="10"/>
  <c r="L129" i="2"/>
  <c r="L128" i="2"/>
  <c r="L127" i="2"/>
  <c r="E26" i="10" l="1"/>
  <c r="E25" i="10"/>
  <c r="L111" i="2"/>
  <c r="L110" i="2"/>
  <c r="E23" i="10"/>
  <c r="E22" i="10"/>
  <c r="L94" i="2"/>
  <c r="L93" i="2"/>
  <c r="L112" i="2" l="1"/>
  <c r="E20" i="10"/>
  <c r="E19" i="10"/>
  <c r="L75" i="2"/>
  <c r="E53" i="5"/>
  <c r="D53" i="5"/>
  <c r="C53" i="5"/>
  <c r="E193" i="16"/>
  <c r="E192" i="16"/>
  <c r="D192" i="16"/>
  <c r="C191" i="16"/>
  <c r="C192" i="16" s="1"/>
  <c r="E186" i="16"/>
  <c r="D186" i="16"/>
  <c r="C185" i="16"/>
  <c r="C186" i="16" s="1"/>
  <c r="E180" i="16"/>
  <c r="D180" i="16"/>
  <c r="C179" i="16"/>
  <c r="C180" i="16" s="1"/>
  <c r="E174" i="16"/>
  <c r="D174" i="16"/>
  <c r="C173" i="16"/>
  <c r="C174" i="16" s="1"/>
  <c r="E168" i="16"/>
  <c r="D168" i="16"/>
  <c r="C167" i="16"/>
  <c r="C168" i="16" s="1"/>
  <c r="E162" i="16"/>
  <c r="D162" i="16"/>
  <c r="C161" i="16"/>
  <c r="C162" i="16" s="1"/>
  <c r="E156" i="16"/>
  <c r="D156" i="16"/>
  <c r="C155" i="16"/>
  <c r="C156" i="16" s="1"/>
  <c r="E150" i="16"/>
  <c r="D150" i="16"/>
  <c r="C149" i="16"/>
  <c r="C150" i="16" s="1"/>
  <c r="E144" i="16"/>
  <c r="D144" i="16"/>
  <c r="C143" i="16"/>
  <c r="C144" i="16" s="1"/>
  <c r="E138" i="16"/>
  <c r="D138" i="16"/>
  <c r="C137" i="16"/>
  <c r="C138" i="16" s="1"/>
  <c r="E132" i="16"/>
  <c r="D132" i="16"/>
  <c r="C131" i="16"/>
  <c r="C132" i="16" s="1"/>
  <c r="E126" i="16"/>
  <c r="D126" i="16"/>
  <c r="C125" i="16"/>
  <c r="C126" i="16" s="1"/>
  <c r="E120" i="16"/>
  <c r="D120" i="16"/>
  <c r="C119" i="16"/>
  <c r="C120" i="16" s="1"/>
  <c r="E114" i="16"/>
  <c r="D114" i="16"/>
  <c r="C113" i="16"/>
  <c r="C114" i="16" s="1"/>
  <c r="E108" i="16"/>
  <c r="D108" i="16"/>
  <c r="C107" i="16"/>
  <c r="C108" i="16" s="1"/>
  <c r="E102" i="16"/>
  <c r="D102" i="16"/>
  <c r="C101" i="16"/>
  <c r="C102" i="16" s="1"/>
  <c r="E96" i="16"/>
  <c r="D96" i="16"/>
  <c r="C95" i="16"/>
  <c r="C96" i="16" s="1"/>
  <c r="E90" i="16"/>
  <c r="D90" i="16"/>
  <c r="C89" i="16"/>
  <c r="C90" i="16" s="1"/>
  <c r="E84" i="16"/>
  <c r="D84" i="16"/>
  <c r="C83" i="16"/>
  <c r="C84" i="16" s="1"/>
  <c r="E78" i="16"/>
  <c r="D78" i="16"/>
  <c r="C77" i="16"/>
  <c r="C78" i="16" s="1"/>
  <c r="E72" i="16"/>
  <c r="D72" i="16"/>
  <c r="C71" i="16"/>
  <c r="C72" i="16" s="1"/>
  <c r="E66" i="16"/>
  <c r="D66" i="16"/>
  <c r="C65" i="16"/>
  <c r="C66" i="16" s="1"/>
  <c r="E60" i="16"/>
  <c r="D60" i="16"/>
  <c r="C59" i="16"/>
  <c r="C60" i="16" s="1"/>
  <c r="E54" i="16"/>
  <c r="D54" i="16"/>
  <c r="C53" i="16"/>
  <c r="C54" i="16" s="1"/>
  <c r="E48" i="16"/>
  <c r="D48" i="16"/>
  <c r="C47" i="16"/>
  <c r="C48" i="16" s="1"/>
  <c r="E42" i="16"/>
  <c r="D42" i="16"/>
  <c r="C41" i="16"/>
  <c r="C42" i="16" s="1"/>
  <c r="O37" i="16"/>
  <c r="O36" i="16"/>
  <c r="E36" i="16"/>
  <c r="D36" i="16"/>
  <c r="O35" i="16"/>
  <c r="C35" i="16"/>
  <c r="C36" i="16" s="1"/>
  <c r="K33" i="16"/>
  <c r="K32" i="16"/>
  <c r="K30" i="16"/>
  <c r="O30" i="16" s="1"/>
  <c r="E30" i="16"/>
  <c r="D30" i="16"/>
  <c r="K29" i="16"/>
  <c r="O29" i="16" s="1"/>
  <c r="C29" i="16"/>
  <c r="C30" i="16" s="1"/>
  <c r="K28" i="16"/>
  <c r="O28" i="16" s="1"/>
  <c r="K27" i="16"/>
  <c r="K25" i="16"/>
  <c r="O25" i="16" s="1"/>
  <c r="K24" i="16"/>
  <c r="O24" i="16" s="1"/>
  <c r="E24" i="16"/>
  <c r="D24" i="16"/>
  <c r="C23" i="16"/>
  <c r="C24" i="16" s="1"/>
  <c r="K22" i="16"/>
  <c r="O22" i="16" s="1"/>
  <c r="K21" i="16"/>
  <c r="K19" i="16"/>
  <c r="O19" i="16" s="1"/>
  <c r="K18" i="16"/>
  <c r="O18" i="16" s="1"/>
  <c r="E18" i="16"/>
  <c r="D18" i="16"/>
  <c r="C17" i="16"/>
  <c r="C18" i="16" s="1"/>
  <c r="K16" i="16"/>
  <c r="K15" i="16"/>
  <c r="O15" i="16" s="1"/>
  <c r="K13" i="16"/>
  <c r="O13" i="16" s="1"/>
  <c r="K12" i="16"/>
  <c r="O12" i="16" s="1"/>
  <c r="E12" i="16"/>
  <c r="D12" i="16"/>
  <c r="C11" i="16"/>
  <c r="C12" i="16" s="1"/>
  <c r="F10" i="16"/>
  <c r="K9" i="16"/>
  <c r="O9" i="16" s="1"/>
  <c r="F9" i="16"/>
  <c r="K8" i="16"/>
  <c r="O8" i="16" s="1"/>
  <c r="F8" i="16"/>
  <c r="F7" i="16"/>
  <c r="K6" i="16"/>
  <c r="O6" i="16" s="1"/>
  <c r="F6" i="16"/>
  <c r="K5" i="16"/>
  <c r="O5" i="16" s="1"/>
  <c r="K4" i="16"/>
  <c r="O4" i="16" s="1"/>
  <c r="O3"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D5" i="12"/>
  <c r="D4" i="12"/>
  <c r="C2" i="12"/>
  <c r="F102" i="10"/>
  <c r="E102" i="10"/>
  <c r="D38" i="11" s="1"/>
  <c r="F99" i="10"/>
  <c r="E99" i="10"/>
  <c r="D37" i="11" s="1"/>
  <c r="F96" i="10"/>
  <c r="E96" i="10"/>
  <c r="D36" i="11" s="1"/>
  <c r="F93" i="10"/>
  <c r="E93" i="10"/>
  <c r="D35" i="11" s="1"/>
  <c r="F90" i="10"/>
  <c r="E90" i="10"/>
  <c r="D34" i="11" s="1"/>
  <c r="F87" i="10"/>
  <c r="E87" i="10"/>
  <c r="K34" i="16" s="1"/>
  <c r="O34" i="16" s="1"/>
  <c r="F84" i="10"/>
  <c r="E84" i="10"/>
  <c r="K31" i="16" s="1"/>
  <c r="O31" i="16" s="1"/>
  <c r="F81" i="10"/>
  <c r="E81" i="10"/>
  <c r="D31" i="11" s="1"/>
  <c r="F78" i="10"/>
  <c r="E78" i="10"/>
  <c r="D30" i="11" s="1"/>
  <c r="F75" i="10"/>
  <c r="E75" i="10"/>
  <c r="D29" i="11" s="1"/>
  <c r="F72" i="10"/>
  <c r="E72" i="10"/>
  <c r="D28" i="11" s="1"/>
  <c r="F69" i="10"/>
  <c r="E69" i="10"/>
  <c r="D27" i="11" s="1"/>
  <c r="F66" i="10"/>
  <c r="E66" i="10"/>
  <c r="D26" i="11" s="1"/>
  <c r="F63" i="10"/>
  <c r="E63" i="10"/>
  <c r="D25" i="11" s="1"/>
  <c r="F60" i="10"/>
  <c r="E60" i="10"/>
  <c r="D24" i="11" s="1"/>
  <c r="F57" i="10"/>
  <c r="E57" i="10"/>
  <c r="D23" i="11" s="1"/>
  <c r="F54" i="10"/>
  <c r="E54" i="10"/>
  <c r="D22" i="11" s="1"/>
  <c r="F51" i="10"/>
  <c r="E51" i="10"/>
  <c r="D21" i="11" s="1"/>
  <c r="F48" i="10"/>
  <c r="E48" i="10"/>
  <c r="D20" i="11" s="1"/>
  <c r="F45" i="10"/>
  <c r="E45" i="10"/>
  <c r="D19" i="11" s="1"/>
  <c r="F42" i="10"/>
  <c r="E42" i="10"/>
  <c r="D18" i="11" s="1"/>
  <c r="F39" i="10"/>
  <c r="E39" i="10"/>
  <c r="D17" i="11" s="1"/>
  <c r="F36" i="10"/>
  <c r="E36" i="10"/>
  <c r="K23" i="16" s="1"/>
  <c r="O23" i="16" s="1"/>
  <c r="F33" i="10"/>
  <c r="E33" i="10"/>
  <c r="K20" i="16" s="1"/>
  <c r="F30" i="10"/>
  <c r="E30" i="10"/>
  <c r="D14" i="11" s="1"/>
  <c r="F27" i="10"/>
  <c r="E27" i="10"/>
  <c r="D13" i="11" s="1"/>
  <c r="F24" i="10"/>
  <c r="E24" i="10"/>
  <c r="D12" i="11" s="1"/>
  <c r="F21" i="10"/>
  <c r="E21" i="10"/>
  <c r="D11" i="11" s="1"/>
  <c r="F18" i="10"/>
  <c r="E18" i="10"/>
  <c r="K10" i="16" s="1"/>
  <c r="O10" i="16" s="1"/>
  <c r="E16" i="10"/>
  <c r="F15" i="10"/>
  <c r="E15" i="10"/>
  <c r="K7" i="16" s="1"/>
  <c r="O7" i="16" s="1"/>
  <c r="E13" i="10"/>
  <c r="F12" i="10"/>
  <c r="E12" i="10"/>
  <c r="D8" i="11" s="1"/>
  <c r="E10" i="10"/>
  <c r="G7" i="10"/>
  <c r="J561" i="2"/>
  <c r="I561" i="2"/>
  <c r="H561" i="2"/>
  <c r="G561" i="2"/>
  <c r="F561" i="2"/>
  <c r="J544" i="2"/>
  <c r="I544" i="2"/>
  <c r="H544" i="2"/>
  <c r="F544" i="2"/>
  <c r="J527" i="2"/>
  <c r="I527" i="2"/>
  <c r="H527" i="2"/>
  <c r="G527" i="2"/>
  <c r="F527" i="2"/>
  <c r="J510" i="2"/>
  <c r="I510" i="2"/>
  <c r="H510" i="2"/>
  <c r="G510" i="2"/>
  <c r="F510" i="2"/>
  <c r="J493" i="2"/>
  <c r="I493" i="2"/>
  <c r="H493" i="2"/>
  <c r="G493" i="2"/>
  <c r="F493" i="2"/>
  <c r="J476" i="2"/>
  <c r="I476" i="2"/>
  <c r="H476" i="2"/>
  <c r="G476" i="2"/>
  <c r="F476" i="2"/>
  <c r="J459" i="2"/>
  <c r="I459" i="2"/>
  <c r="H459" i="2"/>
  <c r="G459" i="2"/>
  <c r="F459" i="2"/>
  <c r="J442" i="2"/>
  <c r="I442" i="2"/>
  <c r="H442" i="2"/>
  <c r="G442" i="2"/>
  <c r="F442" i="2"/>
  <c r="J425" i="2"/>
  <c r="I425" i="2"/>
  <c r="H425" i="2"/>
  <c r="G425" i="2"/>
  <c r="F425" i="2"/>
  <c r="J408" i="2"/>
  <c r="I408" i="2"/>
  <c r="H408" i="2"/>
  <c r="G408" i="2"/>
  <c r="F408" i="2"/>
  <c r="J389" i="2"/>
  <c r="I389" i="2"/>
  <c r="H389" i="2"/>
  <c r="G389" i="2"/>
  <c r="F389" i="2"/>
  <c r="J370" i="2"/>
  <c r="I370" i="2"/>
  <c r="H370" i="2"/>
  <c r="G370" i="2"/>
  <c r="F370" i="2"/>
  <c r="J350" i="2"/>
  <c r="I350" i="2"/>
  <c r="H350" i="2"/>
  <c r="G350" i="2"/>
  <c r="F350" i="2"/>
  <c r="J332" i="2"/>
  <c r="I332" i="2"/>
  <c r="H332" i="2"/>
  <c r="G332" i="2"/>
  <c r="F332" i="2"/>
  <c r="J315" i="2"/>
  <c r="H315" i="2"/>
  <c r="G315" i="2"/>
  <c r="J296" i="2"/>
  <c r="I296" i="2"/>
  <c r="H296" i="2"/>
  <c r="G296" i="2"/>
  <c r="J278" i="2"/>
  <c r="I278" i="2"/>
  <c r="H278" i="2"/>
  <c r="G278" i="2"/>
  <c r="J259" i="2"/>
  <c r="I259" i="2"/>
  <c r="H259" i="2"/>
  <c r="G259" i="2"/>
  <c r="F259" i="2"/>
  <c r="J240" i="2"/>
  <c r="I240" i="2"/>
  <c r="H240" i="2"/>
  <c r="G240" i="2"/>
  <c r="F240" i="2"/>
  <c r="J222" i="2"/>
  <c r="I222" i="2"/>
  <c r="H222" i="2"/>
  <c r="G222" i="2"/>
  <c r="F222" i="2"/>
  <c r="J202" i="2"/>
  <c r="I202" i="2"/>
  <c r="H202" i="2"/>
  <c r="G202" i="2"/>
  <c r="F202" i="2"/>
  <c r="J184" i="2"/>
  <c r="I184" i="2"/>
  <c r="H184" i="2"/>
  <c r="G184" i="2"/>
  <c r="F184" i="2"/>
  <c r="J167" i="2"/>
  <c r="I167" i="2"/>
  <c r="H167" i="2"/>
  <c r="G167" i="2"/>
  <c r="F167" i="2"/>
  <c r="J148" i="2"/>
  <c r="I148" i="2"/>
  <c r="H148" i="2"/>
  <c r="F148" i="2"/>
  <c r="J130" i="2"/>
  <c r="I130" i="2"/>
  <c r="H130" i="2"/>
  <c r="G130" i="2"/>
  <c r="F130" i="2"/>
  <c r="J113" i="2"/>
  <c r="I113" i="2"/>
  <c r="H113" i="2"/>
  <c r="G113" i="2"/>
  <c r="F113" i="2"/>
  <c r="J95" i="2"/>
  <c r="I95" i="2"/>
  <c r="H95" i="2"/>
  <c r="G95" i="2"/>
  <c r="F95" i="2"/>
  <c r="J77" i="2"/>
  <c r="I77" i="2"/>
  <c r="H77" i="2"/>
  <c r="F77" i="2"/>
  <c r="L74" i="2"/>
  <c r="J61" i="2"/>
  <c r="I61" i="2"/>
  <c r="H61" i="2"/>
  <c r="F61" i="2"/>
  <c r="L59" i="2"/>
  <c r="L58" i="2"/>
  <c r="J43" i="2"/>
  <c r="I43" i="2"/>
  <c r="H43" i="2"/>
  <c r="F43" i="2"/>
  <c r="L42" i="2"/>
  <c r="L41" i="2"/>
  <c r="L40" i="2"/>
  <c r="J25" i="2"/>
  <c r="I25" i="2"/>
  <c r="H25" i="2"/>
  <c r="G25" i="2"/>
  <c r="F25" i="2"/>
  <c r="L24" i="2"/>
  <c r="L23" i="2"/>
  <c r="D33" i="11" l="1"/>
  <c r="D9" i="11"/>
  <c r="F103" i="10"/>
  <c r="D16" i="11"/>
  <c r="D32" i="11"/>
  <c r="D408" i="17"/>
  <c r="L60" i="2"/>
  <c r="D410" i="17"/>
  <c r="K332" i="2"/>
  <c r="G63" i="10" s="1"/>
  <c r="E25" i="11" s="1"/>
  <c r="K26" i="16"/>
  <c r="D10" i="11"/>
  <c r="D405" i="17"/>
  <c r="D26" i="12" s="1"/>
  <c r="D411" i="17"/>
  <c r="D409" i="17"/>
  <c r="D15" i="11"/>
  <c r="K408" i="2"/>
  <c r="G75" i="10" s="1"/>
  <c r="E29" i="11" s="1"/>
  <c r="K476" i="2"/>
  <c r="G87" i="10" s="1"/>
  <c r="E33" i="11" s="1"/>
  <c r="K544" i="2"/>
  <c r="G99" i="10" s="1"/>
  <c r="E37" i="11" s="1"/>
  <c r="K278" i="2"/>
  <c r="G54" i="10" s="1"/>
  <c r="E22" i="11" s="1"/>
  <c r="K350" i="2"/>
  <c r="G66" i="10" s="1"/>
  <c r="E26" i="11" s="1"/>
  <c r="K148" i="2"/>
  <c r="G33" i="10" s="1"/>
  <c r="E15" i="11" s="1"/>
  <c r="K222" i="2"/>
  <c r="G45" i="10" s="1"/>
  <c r="E19" i="11" s="1"/>
  <c r="K296" i="2"/>
  <c r="G57" i="10" s="1"/>
  <c r="E23" i="11" s="1"/>
  <c r="K370" i="2"/>
  <c r="G69" i="10" s="1"/>
  <c r="E27" i="11" s="1"/>
  <c r="K442" i="2"/>
  <c r="G81" i="10" s="1"/>
  <c r="E31" i="11" s="1"/>
  <c r="K510" i="2"/>
  <c r="G93" i="10" s="1"/>
  <c r="E35" i="11" s="1"/>
  <c r="K184" i="2"/>
  <c r="G39" i="10" s="1"/>
  <c r="E17" i="11" s="1"/>
  <c r="K259" i="2"/>
  <c r="G51" i="10" s="1"/>
  <c r="E21" i="11" s="1"/>
  <c r="K25" i="2"/>
  <c r="G12" i="10" s="1"/>
  <c r="E8" i="11" s="1"/>
  <c r="F8" i="11" s="1"/>
  <c r="K43" i="2"/>
  <c r="G15" i="10" s="1"/>
  <c r="E9" i="11" s="1"/>
  <c r="K61" i="2"/>
  <c r="G18" i="10" s="1"/>
  <c r="E10" i="11" s="1"/>
  <c r="K202" i="2"/>
  <c r="G42" i="10" s="1"/>
  <c r="E18" i="11" s="1"/>
  <c r="K425" i="2"/>
  <c r="G78" i="10" s="1"/>
  <c r="E30" i="11" s="1"/>
  <c r="K493" i="2"/>
  <c r="G90" i="10" s="1"/>
  <c r="E34" i="11" s="1"/>
  <c r="K561" i="2"/>
  <c r="G102" i="10" s="1"/>
  <c r="E38" i="11" s="1"/>
  <c r="H563" i="2"/>
  <c r="G13" i="12" s="1"/>
  <c r="L43" i="2"/>
  <c r="K167" i="2"/>
  <c r="G36" i="10" s="1"/>
  <c r="E16" i="11" s="1"/>
  <c r="K240" i="2"/>
  <c r="G48" i="10" s="1"/>
  <c r="E20" i="11" s="1"/>
  <c r="K315" i="2"/>
  <c r="G60" i="10" s="1"/>
  <c r="E24" i="11" s="1"/>
  <c r="K389" i="2"/>
  <c r="G72" i="10" s="1"/>
  <c r="E28" i="11" s="1"/>
  <c r="K459" i="2"/>
  <c r="G84" i="10" s="1"/>
  <c r="E32" i="11" s="1"/>
  <c r="K527" i="2"/>
  <c r="G96" i="10" s="1"/>
  <c r="E36" i="11" s="1"/>
  <c r="K77" i="2"/>
  <c r="G21" i="10" s="1"/>
  <c r="J563" i="2"/>
  <c r="I563" i="2"/>
  <c r="H13" i="12" s="1"/>
  <c r="K17" i="16"/>
  <c r="O17" i="16" s="1"/>
  <c r="K130" i="2"/>
  <c r="G30" i="10" s="1"/>
  <c r="E14" i="11" s="1"/>
  <c r="D46" i="12"/>
  <c r="D193" i="16"/>
  <c r="K14" i="16"/>
  <c r="G563" i="2"/>
  <c r="F13" i="12" s="1"/>
  <c r="K113" i="2"/>
  <c r="G27" i="10" s="1"/>
  <c r="E13" i="11" s="1"/>
  <c r="E103" i="10"/>
  <c r="D6" i="12"/>
  <c r="K11" i="16"/>
  <c r="O11" i="16" s="1"/>
  <c r="D33" i="12"/>
  <c r="D32" i="12"/>
  <c r="D36" i="12"/>
  <c r="D40" i="12"/>
  <c r="D44" i="12"/>
  <c r="D35" i="12"/>
  <c r="D39" i="12"/>
  <c r="D43" i="12"/>
  <c r="D47" i="12"/>
  <c r="K95" i="2"/>
  <c r="G24" i="10" s="1"/>
  <c r="E12" i="11" s="1"/>
  <c r="F563" i="2"/>
  <c r="E13" i="12" s="1"/>
  <c r="D41" i="12"/>
  <c r="D45" i="12"/>
  <c r="D37" i="12"/>
  <c r="D34" i="12"/>
  <c r="D38" i="12"/>
  <c r="D42" i="12"/>
  <c r="F11" i="16"/>
  <c r="F12" i="16" s="1"/>
  <c r="F13" i="16" s="1"/>
  <c r="F14" i="16" s="1"/>
  <c r="F15" i="16" s="1"/>
  <c r="F16" i="16" s="1"/>
  <c r="F17" i="16" s="1"/>
  <c r="F18" i="16" s="1"/>
  <c r="F19" i="16" s="1"/>
  <c r="F20" i="16" s="1"/>
  <c r="F21" i="16" s="1"/>
  <c r="F22" i="16" s="1"/>
  <c r="F23" i="16" s="1"/>
  <c r="F24" i="16" s="1"/>
  <c r="F25" i="16" s="1"/>
  <c r="F26" i="16" s="1"/>
  <c r="F27" i="16" s="1"/>
  <c r="F28" i="16" s="1"/>
  <c r="F29" i="16" s="1"/>
  <c r="F30" i="16" s="1"/>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F64" i="16" s="1"/>
  <c r="F65" i="16" s="1"/>
  <c r="F66" i="16" s="1"/>
  <c r="F67" i="16" s="1"/>
  <c r="F68" i="16" s="1"/>
  <c r="F69" i="16" s="1"/>
  <c r="F70" i="16" s="1"/>
  <c r="F71" i="16" s="1"/>
  <c r="F72" i="16" s="1"/>
  <c r="F73" i="16" s="1"/>
  <c r="F74" i="16" s="1"/>
  <c r="F75" i="16" s="1"/>
  <c r="F76" i="16" s="1"/>
  <c r="F77" i="16" s="1"/>
  <c r="F78" i="16" s="1"/>
  <c r="F79" i="16" s="1"/>
  <c r="F80" i="16" s="1"/>
  <c r="F81" i="16" s="1"/>
  <c r="F82" i="16" s="1"/>
  <c r="F83" i="16" s="1"/>
  <c r="F84" i="16" s="1"/>
  <c r="F85" i="16" s="1"/>
  <c r="F86" i="16" s="1"/>
  <c r="F87" i="16" s="1"/>
  <c r="F88" i="16" s="1"/>
  <c r="F89" i="16" s="1"/>
  <c r="F90" i="16" s="1"/>
  <c r="F91" i="16" s="1"/>
  <c r="F92" i="16" s="1"/>
  <c r="F93" i="16" s="1"/>
  <c r="F94" i="16" s="1"/>
  <c r="F95" i="16" s="1"/>
  <c r="F96" i="16" s="1"/>
  <c r="F97" i="16" s="1"/>
  <c r="F98" i="16" s="1"/>
  <c r="F99" i="16" s="1"/>
  <c r="F100" i="16" s="1"/>
  <c r="F101" i="16" s="1"/>
  <c r="F102" i="16" s="1"/>
  <c r="F103" i="16" s="1"/>
  <c r="F104" i="16" s="1"/>
  <c r="F105" i="16" s="1"/>
  <c r="F106" i="16" s="1"/>
  <c r="F107" i="16" s="1"/>
  <c r="F108" i="16" s="1"/>
  <c r="F109" i="16" s="1"/>
  <c r="F110" i="16" s="1"/>
  <c r="F111" i="16" s="1"/>
  <c r="F112" i="16" s="1"/>
  <c r="F113" i="16" s="1"/>
  <c r="F114" i="16" s="1"/>
  <c r="F115" i="16" s="1"/>
  <c r="F116" i="16" s="1"/>
  <c r="F117" i="16" s="1"/>
  <c r="F118" i="16" s="1"/>
  <c r="F119" i="16" s="1"/>
  <c r="F120" i="16" s="1"/>
  <c r="F121" i="16" s="1"/>
  <c r="F122" i="16" s="1"/>
  <c r="F123" i="16" s="1"/>
  <c r="F124" i="16" s="1"/>
  <c r="F125" i="16" s="1"/>
  <c r="F126" i="16" s="1"/>
  <c r="F127" i="16" s="1"/>
  <c r="F128" i="16" s="1"/>
  <c r="F129" i="16" s="1"/>
  <c r="F130" i="16" s="1"/>
  <c r="F131" i="16" s="1"/>
  <c r="F132" i="16" s="1"/>
  <c r="F133" i="16" s="1"/>
  <c r="F134" i="16" s="1"/>
  <c r="F135" i="16" s="1"/>
  <c r="F136" i="16" s="1"/>
  <c r="F137" i="16" s="1"/>
  <c r="F138" i="16" s="1"/>
  <c r="F139" i="16" s="1"/>
  <c r="F140" i="16" s="1"/>
  <c r="F141" i="16" s="1"/>
  <c r="F142" i="16" s="1"/>
  <c r="F143" i="16" s="1"/>
  <c r="F144" i="16" s="1"/>
  <c r="F145" i="16" s="1"/>
  <c r="F146" i="16" s="1"/>
  <c r="F147" i="16" s="1"/>
  <c r="F148" i="16" s="1"/>
  <c r="F149" i="16" s="1"/>
  <c r="F150" i="16" s="1"/>
  <c r="F151" i="16" s="1"/>
  <c r="F152" i="16" s="1"/>
  <c r="F153" i="16" s="1"/>
  <c r="F154" i="16" s="1"/>
  <c r="F155" i="16" s="1"/>
  <c r="F156" i="16" s="1"/>
  <c r="F157" i="16" s="1"/>
  <c r="F158" i="16" s="1"/>
  <c r="F159" i="16" s="1"/>
  <c r="F160" i="16" s="1"/>
  <c r="F161" i="16" s="1"/>
  <c r="F162" i="16" s="1"/>
  <c r="F163" i="16" s="1"/>
  <c r="F164" i="16" s="1"/>
  <c r="F165" i="16" s="1"/>
  <c r="F166" i="16" s="1"/>
  <c r="F167" i="16" s="1"/>
  <c r="F168" i="16" s="1"/>
  <c r="F169" i="16" s="1"/>
  <c r="F170" i="16" s="1"/>
  <c r="F171" i="16" s="1"/>
  <c r="F172" i="16" s="1"/>
  <c r="F173" i="16" s="1"/>
  <c r="F174" i="16" s="1"/>
  <c r="F175" i="16" s="1"/>
  <c r="F176" i="16" s="1"/>
  <c r="F177" i="16" s="1"/>
  <c r="F178" i="16" s="1"/>
  <c r="F179" i="16" s="1"/>
  <c r="F180" i="16" s="1"/>
  <c r="F181" i="16" s="1"/>
  <c r="F182" i="16" s="1"/>
  <c r="F183" i="16" s="1"/>
  <c r="F184" i="16" s="1"/>
  <c r="F185" i="16" s="1"/>
  <c r="F186" i="16" s="1"/>
  <c r="F187" i="16" s="1"/>
  <c r="F188" i="16" s="1"/>
  <c r="F189" i="16" s="1"/>
  <c r="F190" i="16" s="1"/>
  <c r="F191" i="16" s="1"/>
  <c r="F192" i="16" s="1"/>
  <c r="C193" i="16"/>
  <c r="D27" i="12"/>
  <c r="E34" i="12" l="1"/>
  <c r="F9" i="11"/>
  <c r="F10" i="11" s="1"/>
  <c r="H12" i="10"/>
  <c r="H15" i="10" s="1"/>
  <c r="H18" i="10" s="1"/>
  <c r="H21" i="10" s="1"/>
  <c r="H24" i="10" s="1"/>
  <c r="H27" i="10" s="1"/>
  <c r="H30" i="10" s="1"/>
  <c r="H33" i="10" s="1"/>
  <c r="H36" i="10" s="1"/>
  <c r="H39" i="10" s="1"/>
  <c r="H42" i="10" s="1"/>
  <c r="H45" i="10" s="1"/>
  <c r="H48" i="10" s="1"/>
  <c r="H51" i="10" s="1"/>
  <c r="H54" i="10" s="1"/>
  <c r="H57" i="10" s="1"/>
  <c r="H60" i="10" s="1"/>
  <c r="H63" i="10" s="1"/>
  <c r="H66" i="10" s="1"/>
  <c r="H69" i="10" s="1"/>
  <c r="H72" i="10" s="1"/>
  <c r="H75" i="10" s="1"/>
  <c r="H78" i="10" s="1"/>
  <c r="H81" i="10" s="1"/>
  <c r="H84" i="10" s="1"/>
  <c r="H87" i="10" s="1"/>
  <c r="H90" i="10" s="1"/>
  <c r="H93" i="10" s="1"/>
  <c r="H96" i="10" s="1"/>
  <c r="H99" i="10" s="1"/>
  <c r="H102" i="10" s="1"/>
  <c r="D412" i="17"/>
  <c r="D39" i="11"/>
  <c r="D22" i="12" s="1"/>
  <c r="F193" i="16"/>
  <c r="D29" i="12" s="1"/>
  <c r="E46" i="12"/>
  <c r="E41" i="12"/>
  <c r="E43" i="12"/>
  <c r="E40" i="12"/>
  <c r="E37" i="12"/>
  <c r="I13" i="12"/>
  <c r="F14" i="12" s="1"/>
  <c r="L561" i="2"/>
  <c r="E39" i="12"/>
  <c r="E36" i="12"/>
  <c r="K563" i="2"/>
  <c r="E42" i="12"/>
  <c r="E33" i="12"/>
  <c r="E35" i="12"/>
  <c r="E32" i="12"/>
  <c r="E38" i="12"/>
  <c r="E45" i="12"/>
  <c r="E47" i="12"/>
  <c r="E44" i="12"/>
  <c r="G103" i="10"/>
  <c r="H103" i="10" s="1"/>
  <c r="E11" i="11"/>
  <c r="D28" i="12"/>
  <c r="H14" i="12" l="1"/>
  <c r="E14" i="12"/>
  <c r="G14" i="12"/>
  <c r="F11" i="11"/>
  <c r="F12" i="11" s="1"/>
  <c r="F13" i="11" s="1"/>
  <c r="F14" i="11" s="1"/>
  <c r="F15" i="11" s="1"/>
  <c r="F16" i="11" s="1"/>
  <c r="F17" i="11" s="1"/>
  <c r="F18" i="11" s="1"/>
  <c r="F19" i="11" s="1"/>
  <c r="F20" i="11" s="1"/>
  <c r="F21" i="11" s="1"/>
  <c r="F22" i="11" s="1"/>
  <c r="F23" i="11" s="1"/>
  <c r="F24" i="11" s="1"/>
  <c r="F25" i="11" s="1"/>
  <c r="F26" i="11" s="1"/>
  <c r="F27" i="11" s="1"/>
  <c r="F28" i="11" s="1"/>
  <c r="F29" i="11" s="1"/>
  <c r="F30" i="11" s="1"/>
  <c r="F31" i="11" s="1"/>
  <c r="F32" i="11" s="1"/>
  <c r="F33" i="11" s="1"/>
  <c r="F34" i="11" s="1"/>
  <c r="F35" i="11" s="1"/>
  <c r="F36" i="11" s="1"/>
  <c r="F37" i="11" s="1"/>
  <c r="E39" i="11"/>
  <c r="D23" i="12" s="1"/>
  <c r="I14" i="12" l="1"/>
  <c r="D24" i="12"/>
  <c r="E24" i="12" s="1"/>
  <c r="E23" i="12"/>
  <c r="F38" i="11"/>
  <c r="F39"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<sst xmlns="http://schemas.openxmlformats.org/spreadsheetml/2006/main" count="1313" uniqueCount="221">
  <si>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</si>
  <si>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</si>
  <si>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</si>
  <si>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</si>
  <si>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</si>
  <si>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</si>
  <si>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</si>
  <si>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</si>
  <si>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</si>
  <si>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</si>
  <si>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</si>
  <si>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</si>
  <si>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</si>
  <si>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</si>
  <si>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</si>
  <si>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</si>
  <si>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</si>
  <si>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</si>
  <si>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</si>
  <si>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</si>
  <si>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</si>
  <si>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</si>
  <si>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</si>
  <si>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</si>
  <si>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</si>
  <si>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</si>
  <si>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</si>
  <si>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</si>
  <si>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</si>
  <si>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</si>
  <si>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</si>
  <si>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</si>
  <si>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</si>
  <si>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</si>
  <si>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</si>
  <si>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</si>
  <si>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</si>
  <si>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</si>
  <si>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</si>
  <si>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</si>
  <si>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</si>
  <si>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</si>
  <si>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</si>
  <si>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</si>
  <si>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</si>
  <si>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</si>
  <si>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</si>
  <si>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</si>
  <si>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</si>
  <si>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</si>
  <si>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</si>
  <si>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</si>
  <si>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</si>
  <si>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</si>
  <si>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</si>
  <si>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</si>
  <si>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</si>
  <si>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</si>
  <si>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</si>
  <si>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</si>
  <si>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</si>
  <si>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</si>
  <si>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</si>
  <si>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</si>
  <si>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</si>
  <si>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</si>
  <si>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</si>
  <si>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</si>
  <si>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</si>
  <si>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</si>
  <si>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</si>
  <si>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</si>
  <si>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</si>
  <si>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</si>
  <si>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</si>
  <si>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</si>
  <si>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</si>
  <si>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</si>
  <si>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</si>
  <si>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</si>
  <si>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</si>
  <si>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</si>
  <si>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</si>
  <si>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</si>
  <si>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</si>
  <si>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</si>
  <si>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</si>
  <si>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</si>
  <si>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</si>
  <si>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</si>
  <si>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</si>
  <si>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</si>
  <si>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</si>
  <si>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</si>
  <si>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</si>
  <si>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</si>
  <si>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</si>
  <si>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</si>
  <si>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</si>
  <si>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</si>
  <si>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</si>
  <si>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</si>
  <si>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</si>
  <si>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</si>
  <si>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</si>
  <si>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</si>
  <si>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</si>
  <si>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</si>
  <si>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</si>
  <si>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</si>
  <si>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</si>
  <si>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</si>
  <si>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</si>
  <si>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</si>
  <si>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</si>
  <si>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</si>
  <si>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</si>
  <si>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</si>
  <si>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</si>
  <si>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</si>
  <si>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</si>
  <si>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</si>
  <si>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</si>
  <si>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</si>
  <si>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</si>
  <si>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</si>
  <si>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</si>
  <si>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</si>
  <si>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</si>
  <si>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</si>
  <si>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</si>
  <si>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</si>
  <si>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</si>
  <si>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</si>
  <si>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</si>
  <si>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</si>
  <si>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</si>
  <si>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</si>
  <si>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</si>
  <si>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</si>
  <si>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</si>
  <si>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</si>
  <si>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</si>
  <si>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</si>
  <si>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</si>
  <si>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</si>
  <si>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</si>
  <si>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</si>
  <si>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</si>
  <si>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</si>
  <si>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</si>
  <si>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</si>
  <si>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</si>
  <si>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</si>
  <si>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</si>
  <si>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</si>
  <si>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</si>
  <si>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</si>
  <si>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</si>
  <si>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</si>
  <si>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</si>
  <si>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</si>
  <si>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</si>
  <si>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</si>
  <si>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</si>
  <si>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</si>
  <si>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</si>
  <si>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</si>
  <si>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PAGO APORTES EN LINEA</t>
  </si>
  <si>
    <t>COMPRA DE INSUMOS</t>
  </si>
  <si>
    <t>BONO EMPLEADO</t>
  </si>
  <si>
    <t>PAGO TURNO MAÑANA</t>
  </si>
  <si>
    <t>DOMICILIO CLIENTE</t>
  </si>
  <si>
    <t>PAGO TURNO TARDE</t>
  </si>
  <si>
    <t>ABONO ARRIENDO MES DE SEPT. 2025</t>
  </si>
  <si>
    <t>ERNESTO OCHOA</t>
  </si>
  <si>
    <t>BONO EMPLEADO TERESITA 4MIL/ THAIS 4MIL</t>
  </si>
  <si>
    <t xml:space="preserve">BONO EMPLEADO </t>
  </si>
  <si>
    <t>SERVICIO DE PAPELERÍA</t>
  </si>
  <si>
    <t>BONO EMPLEADOS KARINA $26.000</t>
  </si>
  <si>
    <t>BONO EMPLEADO ANA $4.000</t>
  </si>
  <si>
    <t>BONO THAIS 23.000</t>
  </si>
  <si>
    <t>PINZA PELO</t>
  </si>
  <si>
    <t>EARCUFF</t>
  </si>
  <si>
    <t>BONO EMPLEADO KARINA 2000  Y THAIS TERE 2000</t>
  </si>
  <si>
    <t>PEYO</t>
  </si>
  <si>
    <t>COMPRA DE ALMUERZO</t>
  </si>
  <si>
    <t>BONO EMPLEADO TERESITA $ 9.000</t>
  </si>
  <si>
    <t>2 earcuff</t>
  </si>
  <si>
    <t>efectivo</t>
  </si>
  <si>
    <t>aretes</t>
  </si>
  <si>
    <t>COMPRA DE CELULAR</t>
  </si>
  <si>
    <t>COMERCIALIZADOA VICTOR ALVAREZ Y CIA SAS</t>
  </si>
  <si>
    <t>accesorios</t>
  </si>
  <si>
    <t>RAUL FLOREZ</t>
  </si>
  <si>
    <t>ARREGLO DE NEVERA COCINA</t>
  </si>
  <si>
    <t>ARREGLO NEVERA COCINA</t>
  </si>
  <si>
    <t>MERIENDA SUSAN</t>
  </si>
  <si>
    <t>ESPERANZA FRESAS</t>
  </si>
  <si>
    <t xml:space="preserve">COMPRA DE FRESAS </t>
  </si>
  <si>
    <t>PAGO DE SERVICIO</t>
  </si>
  <si>
    <t>COMPRA DE CONOS</t>
  </si>
  <si>
    <t>CONHELA  SAS</t>
  </si>
  <si>
    <t xml:space="preserve">RETIRO </t>
  </si>
  <si>
    <t>ACCESIRIOS MAFE</t>
  </si>
  <si>
    <t>ACOPLE LICUADORA</t>
  </si>
  <si>
    <t>FERRETERIA</t>
  </si>
  <si>
    <t>ACCESORIOS KARINA</t>
  </si>
  <si>
    <t>BONO EMPLEADO ANA CERVANTES</t>
  </si>
  <si>
    <t>TOPOS LAGRIMAS</t>
  </si>
  <si>
    <t>BONO EMPLEADOS ANA CERVANTES $26.000, error de doble facturación</t>
  </si>
  <si>
    <t>JESIT ALFONZO</t>
  </si>
  <si>
    <t>COMPRA DE BOLSITAS</t>
  </si>
  <si>
    <t xml:space="preserve">PAGO SERVICIO </t>
  </si>
  <si>
    <t>PAGO DE LUZ</t>
  </si>
  <si>
    <t>COLLAR Y PAR DE MANILLAS</t>
  </si>
  <si>
    <t>COMERCIALIZADORA VICTOR ALVAREZ Y CIA SAS</t>
  </si>
  <si>
    <t>kelly fernandez</t>
  </si>
  <si>
    <t>lisseh</t>
  </si>
  <si>
    <t>IMPRESIÓN PUBLICIDAD</t>
  </si>
  <si>
    <t>COMPRA DE GOTAS PARA UÑAS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</si>
</sst>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theme="9" tint="-0.249977111117893"/>
        <bgColor indexed="64"/>
      </patternFill>
    </fill>
    <fill>
      <patternFill patternType="solid">
        <fgColor theme="5"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9">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3" borderId="1" xfId="1" applyNumberFormat="1" applyFont="1" applyFill="1" applyBorder="1"/>
    <xf numFmtId="164" fontId="0" fillId="15"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21" borderId="1" xfId="1" applyNumberFormat="1" applyFont="1" applyFill="1" applyBorder="1"/>
    <xf numFmtId="164" fontId="0" fillId="24" borderId="1" xfId="1" applyNumberFormat="1" applyFont="1" applyFill="1" applyBorder="1"/>
    <xf numFmtId="164" fontId="0" fillId="31" borderId="1" xfId="1" applyNumberFormat="1" applyFont="1" applyFill="1" applyBorder="1"/>
    <xf numFmtId="164" fontId="0" fillId="21" borderId="1" xfId="0" applyNumberFormat="1" applyFill="1" applyBorder="1"/>
    <xf numFmtId="164" fontId="0" fillId="8" borderId="1" xfId="1" applyNumberFormat="1" applyFont="1" applyFill="1" applyBorder="1"/>
    <xf numFmtId="164" fontId="0" fillId="8" borderId="1" xfId="0" applyNumberFormat="1" applyFill="1" applyBorder="1"/>
    <xf numFmtId="164" fontId="0" fillId="31" borderId="1" xfId="0" applyNumberFormat="1" applyFill="1" applyBorder="1"/>
    <xf numFmtId="164" fontId="0" fillId="32" borderId="1" xfId="1" applyNumberFormat="1" applyFont="1" applyFill="1" applyBorder="1"/>
    <xf numFmtId="164" fontId="0" fillId="10" borderId="1" xfId="1" applyNumberFormat="1" applyFont="1" applyFill="1" applyBorder="1"/>
    <xf numFmtId="164" fontId="0" fillId="13" borderId="1" xfId="1" applyNumberFormat="1" applyFont="1" applyFill="1" applyBorder="1"/>
    <xf numFmtId="164" fontId="0" fillId="24" borderId="1" xfId="0" applyNumberFormat="1" applyFill="1" applyBorder="1"/>
    <xf numFmtId="164" fontId="0" fillId="25" borderId="1" xfId="1" applyNumberFormat="1" applyFont="1" applyFill="1" applyBorder="1"/>
    <xf numFmtId="0" fontId="0" fillId="14" borderId="0" xfId="0" applyFill="1" applyProtection="1">
      <protection locked="0"/>
    </xf>
    <xf numFmtId="164" fontId="0" fillId="12" borderId="1" xfId="1" applyNumberFormat="1" applyFont="1" applyFill="1" applyBorder="1"/>
    <xf numFmtId="164" fontId="0" fillId="31" borderId="1" xfId="1" applyNumberFormat="1" applyFont="1" applyFill="1" applyBorder="1" applyAlignment="1" applyProtection="1">
      <alignment horizontal="center" vertical="center"/>
      <protection locked="0"/>
    </xf>
    <xf numFmtId="164" fontId="0" fillId="12" borderId="1" xfId="0" applyNumberFormat="1" applyFill="1" applyBorder="1"/>
    <xf numFmtId="164" fontId="0" fillId="19"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2" fillId="8" borderId="1" xfId="1" applyNumberFormat="1" applyFon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3" fontId="0" fillId="18" borderId="21" xfId="0" applyNumberFormat="1" applyFill="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3" t="s">
        <v>0</v>
      </c>
      <c r="D2" s="223"/>
      <c r="E2" s="223"/>
      <c r="F2" s="223"/>
      <c r="G2" s="223"/>
      <c r="H2" s="223"/>
      <c r="I2" s="223"/>
      <c r="J2" s="223"/>
      <c r="K2" s="223"/>
      <c r="L2" s="223"/>
    </row>
    <row r="3" spans="3:14" ht="26.25" x14ac:dyDescent="0.25">
      <c r="C3" s="223" t="s">
        <v>1</v>
      </c>
      <c r="D3" s="223"/>
      <c r="E3" s="223"/>
      <c r="F3" s="223"/>
      <c r="G3" s="223"/>
      <c r="H3" s="223"/>
      <c r="I3" s="223"/>
      <c r="J3" s="223"/>
      <c r="K3" s="223"/>
      <c r="L3" s="223"/>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6"/>
  <sheetViews>
    <sheetView tabSelected="1" topLeftCell="C256" zoomScale="70" zoomScaleNormal="70" workbookViewId="0">
      <selection activeCell="F278" sqref="F278"/>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32" t="s">
        <v>0</v>
      </c>
      <c r="D2" s="233"/>
      <c r="E2" s="233"/>
      <c r="F2" s="233"/>
      <c r="G2" s="233"/>
      <c r="H2" s="233"/>
      <c r="I2" s="233"/>
      <c r="J2" s="233"/>
      <c r="K2" s="233"/>
      <c r="L2" s="234"/>
    </row>
    <row r="3" spans="3:17" ht="15.75" x14ac:dyDescent="0.25">
      <c r="C3" s="232" t="s">
        <v>1</v>
      </c>
      <c r="D3" s="233"/>
      <c r="E3" s="233"/>
      <c r="F3" s="233"/>
      <c r="G3" s="233"/>
      <c r="H3" s="233"/>
      <c r="I3" s="233"/>
      <c r="J3" s="233"/>
      <c r="K3" s="233"/>
      <c r="L3" s="234"/>
    </row>
    <row r="4" spans="3:17" ht="15.75" x14ac:dyDescent="0.25">
      <c r="C4" s="232" t="s">
        <v>2</v>
      </c>
      <c r="D4" s="233"/>
      <c r="E4" s="233"/>
      <c r="F4" s="233"/>
      <c r="G4" s="233"/>
      <c r="H4" s="233"/>
      <c r="I4" s="233"/>
      <c r="J4" s="233"/>
      <c r="K4" s="233"/>
      <c r="L4" s="234"/>
    </row>
    <row r="5" spans="3:17" ht="15.75" x14ac:dyDescent="0.25">
      <c r="C5" s="232"/>
      <c r="D5" s="233"/>
      <c r="E5" s="233"/>
      <c r="F5" s="233"/>
      <c r="G5" s="233"/>
      <c r="H5" s="233"/>
      <c r="I5" s="233"/>
      <c r="J5" s="233"/>
      <c r="K5" s="233"/>
      <c r="L5" s="234"/>
    </row>
    <row r="6" spans="3:17" ht="15.75" x14ac:dyDescent="0.25">
      <c r="C6" s="232"/>
      <c r="D6" s="233"/>
      <c r="E6" s="233"/>
      <c r="F6" s="233"/>
      <c r="G6" s="233"/>
      <c r="H6" s="233"/>
      <c r="I6" s="233"/>
      <c r="J6" s="233"/>
      <c r="K6" s="233"/>
      <c r="L6" s="234"/>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4">
        <v>1</v>
      </c>
      <c r="D9" s="99" t="s">
        <v>103</v>
      </c>
      <c r="E9" s="99" t="s">
        <v>168</v>
      </c>
      <c r="F9" s="6">
        <v>0</v>
      </c>
      <c r="G9" s="6">
        <v>0</v>
      </c>
      <c r="H9" s="6">
        <v>0</v>
      </c>
      <c r="I9" s="199">
        <v>405800</v>
      </c>
      <c r="J9" s="6"/>
      <c r="K9" s="6">
        <v>0</v>
      </c>
      <c r="L9" s="5"/>
      <c r="P9" s="136" t="s">
        <v>13</v>
      </c>
      <c r="Q9" s="3" t="s">
        <v>155</v>
      </c>
    </row>
    <row r="10" spans="3:17" ht="18.75" x14ac:dyDescent="0.3">
      <c r="C10" s="225"/>
      <c r="D10" s="197" t="s">
        <v>127</v>
      </c>
      <c r="E10" s="99" t="s">
        <v>169</v>
      </c>
      <c r="F10" s="200">
        <v>105200</v>
      </c>
      <c r="G10" s="6">
        <v>0</v>
      </c>
      <c r="H10" s="6">
        <v>0</v>
      </c>
      <c r="I10" s="6">
        <v>0</v>
      </c>
      <c r="J10" s="6"/>
      <c r="K10" s="6">
        <v>0</v>
      </c>
      <c r="L10" s="5"/>
      <c r="Q10" s="109" t="s">
        <v>14</v>
      </c>
    </row>
    <row r="11" spans="3:17" ht="18.75" x14ac:dyDescent="0.3">
      <c r="C11" s="225"/>
      <c r="D11" s="197" t="s">
        <v>37</v>
      </c>
      <c r="E11" s="99" t="s">
        <v>170</v>
      </c>
      <c r="F11" s="6">
        <v>0</v>
      </c>
      <c r="G11" s="204">
        <v>4000</v>
      </c>
      <c r="H11" s="6">
        <v>0</v>
      </c>
      <c r="I11" s="6"/>
      <c r="J11" s="6"/>
      <c r="K11" s="6">
        <v>0</v>
      </c>
      <c r="L11" s="5"/>
      <c r="Q11" s="110" t="s">
        <v>15</v>
      </c>
    </row>
    <row r="12" spans="3:17" ht="18.75" x14ac:dyDescent="0.3">
      <c r="C12" s="225"/>
      <c r="D12" s="197" t="s">
        <v>22</v>
      </c>
      <c r="E12" s="99" t="s">
        <v>169</v>
      </c>
      <c r="F12" s="200">
        <v>193700</v>
      </c>
      <c r="G12" s="6">
        <v>0</v>
      </c>
      <c r="H12" s="6">
        <v>0</v>
      </c>
      <c r="I12" s="6">
        <v>0</v>
      </c>
      <c r="J12" s="6"/>
      <c r="K12" s="6">
        <v>0</v>
      </c>
      <c r="L12" s="5"/>
      <c r="Q12" s="110" t="s">
        <v>16</v>
      </c>
    </row>
    <row r="13" spans="3:17" ht="18.75" x14ac:dyDescent="0.3">
      <c r="C13" s="225"/>
      <c r="D13" s="197" t="s">
        <v>37</v>
      </c>
      <c r="E13" s="99" t="s">
        <v>171</v>
      </c>
      <c r="F13" s="6">
        <v>0</v>
      </c>
      <c r="G13" s="200">
        <v>50000</v>
      </c>
      <c r="H13" s="6">
        <v>0</v>
      </c>
      <c r="I13" s="6">
        <v>0</v>
      </c>
      <c r="J13" s="6"/>
      <c r="K13" s="6">
        <v>0</v>
      </c>
      <c r="L13" s="5"/>
      <c r="Q13" s="110" t="s">
        <v>17</v>
      </c>
    </row>
    <row r="14" spans="3:17" ht="18.75" x14ac:dyDescent="0.3">
      <c r="C14" s="225"/>
      <c r="D14" s="197" t="s">
        <v>46</v>
      </c>
      <c r="E14" s="99" t="s">
        <v>172</v>
      </c>
      <c r="F14" s="6">
        <v>0</v>
      </c>
      <c r="G14" s="6">
        <v>0</v>
      </c>
      <c r="H14" s="6">
        <v>0</v>
      </c>
      <c r="I14" s="200">
        <v>10000</v>
      </c>
      <c r="J14" s="6"/>
      <c r="K14" s="6">
        <v>0</v>
      </c>
      <c r="L14" s="5"/>
      <c r="Q14" s="110" t="s">
        <v>99</v>
      </c>
    </row>
    <row r="15" spans="3:17" ht="18.75" x14ac:dyDescent="0.3">
      <c r="C15" s="225"/>
      <c r="D15" s="197" t="s">
        <v>40</v>
      </c>
      <c r="E15" s="99" t="s">
        <v>169</v>
      </c>
      <c r="F15" s="201">
        <v>56910</v>
      </c>
      <c r="G15" s="6">
        <v>0</v>
      </c>
      <c r="H15" s="6">
        <v>0</v>
      </c>
      <c r="I15" s="6">
        <v>0</v>
      </c>
      <c r="J15" s="6"/>
      <c r="K15" s="6">
        <v>0</v>
      </c>
      <c r="L15" s="5"/>
      <c r="Q15" s="110" t="s">
        <v>18</v>
      </c>
    </row>
    <row r="16" spans="3:17" ht="18.75" x14ac:dyDescent="0.3">
      <c r="C16" s="225"/>
      <c r="D16" s="197" t="s">
        <v>44</v>
      </c>
      <c r="E16" s="99" t="s">
        <v>173</v>
      </c>
      <c r="F16" s="6">
        <v>0</v>
      </c>
      <c r="G16" s="201">
        <v>55000</v>
      </c>
      <c r="H16" s="6">
        <v>0</v>
      </c>
      <c r="I16" s="6">
        <v>0</v>
      </c>
      <c r="J16" s="6"/>
      <c r="K16" s="6">
        <v>0</v>
      </c>
      <c r="L16" s="5"/>
      <c r="Q16" s="110" t="s">
        <v>103</v>
      </c>
    </row>
    <row r="17" spans="3:17" ht="18.75" x14ac:dyDescent="0.3">
      <c r="C17" s="225"/>
      <c r="D17" s="197" t="s">
        <v>145</v>
      </c>
      <c r="E17" s="99" t="s">
        <v>173</v>
      </c>
      <c r="F17" s="6">
        <v>0</v>
      </c>
      <c r="G17" s="201">
        <v>55000</v>
      </c>
      <c r="H17" s="6">
        <v>0</v>
      </c>
      <c r="I17" s="6">
        <v>0</v>
      </c>
      <c r="J17" s="6"/>
      <c r="K17" s="6">
        <v>0</v>
      </c>
      <c r="L17" s="5"/>
      <c r="Q17" s="110" t="s">
        <v>19</v>
      </c>
    </row>
    <row r="18" spans="3:17" ht="18.75" x14ac:dyDescent="0.3">
      <c r="C18" s="225"/>
      <c r="D18" s="197"/>
      <c r="E18" s="99"/>
      <c r="F18" s="6">
        <v>0</v>
      </c>
      <c r="G18" s="6">
        <v>0</v>
      </c>
      <c r="H18" s="6">
        <v>0</v>
      </c>
      <c r="I18" s="6">
        <v>0</v>
      </c>
      <c r="J18" s="6"/>
      <c r="K18" s="6">
        <v>0</v>
      </c>
      <c r="L18" s="5"/>
      <c r="Q18" s="110" t="s">
        <v>20</v>
      </c>
    </row>
    <row r="19" spans="3:17" ht="18.75" x14ac:dyDescent="0.3">
      <c r="C19" s="225"/>
      <c r="D19" s="197"/>
      <c r="E19" s="99"/>
      <c r="F19" s="6">
        <v>0</v>
      </c>
      <c r="G19" s="6">
        <v>0</v>
      </c>
      <c r="H19" s="6">
        <v>0</v>
      </c>
      <c r="I19" s="6">
        <v>0</v>
      </c>
      <c r="J19" s="6"/>
      <c r="K19" s="6">
        <v>0</v>
      </c>
      <c r="L19" s="108"/>
      <c r="Q19" s="110" t="s">
        <v>21</v>
      </c>
    </row>
    <row r="20" spans="3:17" ht="18.75" x14ac:dyDescent="0.3">
      <c r="C20" s="225"/>
      <c r="D20" s="197"/>
      <c r="E20" s="99"/>
      <c r="F20" s="6">
        <v>0</v>
      </c>
      <c r="G20" s="6">
        <v>0</v>
      </c>
      <c r="H20" s="6">
        <v>0</v>
      </c>
      <c r="I20" s="6">
        <v>0</v>
      </c>
      <c r="J20" s="6"/>
      <c r="K20" s="6">
        <v>0</v>
      </c>
      <c r="L20" s="5"/>
      <c r="Q20" s="110" t="s">
        <v>22</v>
      </c>
    </row>
    <row r="21" spans="3:17" ht="18.75" x14ac:dyDescent="0.3">
      <c r="C21" s="225"/>
      <c r="D21" s="197"/>
      <c r="E21" s="99"/>
      <c r="F21" s="6">
        <v>0</v>
      </c>
      <c r="G21" s="6">
        <v>0</v>
      </c>
      <c r="H21" s="6">
        <v>0</v>
      </c>
      <c r="I21" s="6">
        <v>0</v>
      </c>
      <c r="J21" s="6"/>
      <c r="K21" s="6">
        <v>0</v>
      </c>
      <c r="L21" s="108"/>
      <c r="Q21" s="110" t="s">
        <v>104</v>
      </c>
    </row>
    <row r="22" spans="3:17" ht="18.75" x14ac:dyDescent="0.3">
      <c r="C22" s="225"/>
      <c r="D22" s="197"/>
      <c r="E22" s="99"/>
      <c r="F22" s="6">
        <v>0</v>
      </c>
      <c r="G22" s="6">
        <v>0</v>
      </c>
      <c r="H22" s="6">
        <v>0</v>
      </c>
      <c r="I22" s="6">
        <v>0</v>
      </c>
      <c r="J22" s="6"/>
      <c r="K22" s="6">
        <v>0</v>
      </c>
      <c r="L22" s="108"/>
      <c r="Q22" s="110" t="s">
        <v>23</v>
      </c>
    </row>
    <row r="23" spans="3:17" ht="18.75" x14ac:dyDescent="0.3">
      <c r="C23" s="225"/>
      <c r="D23" s="197"/>
      <c r="E23" s="99"/>
      <c r="F23" s="6">
        <v>0</v>
      </c>
      <c r="G23" s="6">
        <v>0</v>
      </c>
      <c r="H23" s="6">
        <v>0</v>
      </c>
      <c r="I23" s="6">
        <v>0</v>
      </c>
      <c r="J23" s="6"/>
      <c r="K23" s="6">
        <v>0</v>
      </c>
      <c r="L23" s="198">
        <f>SUM(F10)+F12+G13+I14</f>
        <v>358900</v>
      </c>
      <c r="Q23" s="110" t="s">
        <v>24</v>
      </c>
    </row>
    <row r="24" spans="3:17" ht="18.75" x14ac:dyDescent="0.3">
      <c r="C24" s="226"/>
      <c r="D24" s="197"/>
      <c r="E24" s="99"/>
      <c r="F24" s="6">
        <v>0</v>
      </c>
      <c r="G24" s="6">
        <v>0</v>
      </c>
      <c r="H24" s="6">
        <v>0</v>
      </c>
      <c r="I24" s="6">
        <v>0</v>
      </c>
      <c r="J24" s="6"/>
      <c r="K24" s="6">
        <v>0</v>
      </c>
      <c r="L24" s="202">
        <f>SUM(F15+G16+G17)</f>
        <v>166910</v>
      </c>
      <c r="Q24" s="110" t="s">
        <v>105</v>
      </c>
    </row>
    <row r="25" spans="3:17" ht="18.75" x14ac:dyDescent="0.3">
      <c r="C25" s="101"/>
      <c r="D25" s="117"/>
      <c r="E25" s="102" t="s">
        <v>27</v>
      </c>
      <c r="F25" s="33">
        <f>SUM(F9:F24)</f>
        <v>355810</v>
      </c>
      <c r="G25" s="33">
        <f>SUM(G9:G24)</f>
        <v>164000</v>
      </c>
      <c r="H25" s="33">
        <f>SUM(H9:H24)</f>
        <v>0</v>
      </c>
      <c r="I25" s="33">
        <f>SUM(I9:I24)</f>
        <v>415800</v>
      </c>
      <c r="J25" s="33">
        <f>SUM(J9:J24)</f>
        <v>0</v>
      </c>
      <c r="K25" s="33">
        <f>SUM(F25:J25)-J25</f>
        <v>935610</v>
      </c>
      <c r="L25" s="32"/>
      <c r="Q25" s="110" t="s">
        <v>100</v>
      </c>
    </row>
    <row r="26" spans="3:17" ht="18.75" x14ac:dyDescent="0.3">
      <c r="C26" s="224">
        <v>2</v>
      </c>
      <c r="D26" s="197" t="s">
        <v>34</v>
      </c>
      <c r="E26" s="99" t="s">
        <v>169</v>
      </c>
      <c r="F26" s="203">
        <v>10000</v>
      </c>
      <c r="G26" s="6">
        <v>0</v>
      </c>
      <c r="H26" s="6">
        <v>0</v>
      </c>
      <c r="I26" s="6">
        <v>0</v>
      </c>
      <c r="J26" s="6"/>
      <c r="K26" s="6">
        <v>0</v>
      </c>
      <c r="L26" s="5"/>
      <c r="Q26" s="110" t="s">
        <v>106</v>
      </c>
    </row>
    <row r="27" spans="3:17" ht="18.75" x14ac:dyDescent="0.3">
      <c r="C27" s="225"/>
      <c r="D27" s="197" t="s">
        <v>139</v>
      </c>
      <c r="E27" s="99" t="s">
        <v>169</v>
      </c>
      <c r="F27" s="203">
        <v>10000</v>
      </c>
      <c r="G27" s="6">
        <v>0</v>
      </c>
      <c r="H27" s="6">
        <v>0</v>
      </c>
      <c r="I27" s="6">
        <v>0</v>
      </c>
      <c r="J27" s="6"/>
      <c r="K27" s="6">
        <v>0</v>
      </c>
      <c r="L27" s="5"/>
      <c r="Q27" s="110" t="s">
        <v>25</v>
      </c>
    </row>
    <row r="28" spans="3:17" ht="18.75" x14ac:dyDescent="0.3">
      <c r="C28" s="225"/>
      <c r="D28" s="197" t="s">
        <v>35</v>
      </c>
      <c r="E28" s="99" t="s">
        <v>174</v>
      </c>
      <c r="F28" s="6">
        <v>0</v>
      </c>
      <c r="G28" s="6">
        <v>0</v>
      </c>
      <c r="H28" s="205">
        <v>1100000</v>
      </c>
      <c r="I28" s="6">
        <v>0</v>
      </c>
      <c r="J28" s="6"/>
      <c r="K28" s="6">
        <v>0</v>
      </c>
      <c r="L28" s="5"/>
      <c r="Q28" s="110" t="s">
        <v>26</v>
      </c>
    </row>
    <row r="29" spans="3:17" ht="18.75" x14ac:dyDescent="0.3">
      <c r="C29" s="225"/>
      <c r="D29" s="197" t="s">
        <v>24</v>
      </c>
      <c r="E29" s="99" t="s">
        <v>169</v>
      </c>
      <c r="F29" s="203">
        <v>360403</v>
      </c>
      <c r="G29" s="6">
        <v>0</v>
      </c>
      <c r="H29" s="6">
        <v>0</v>
      </c>
      <c r="I29" s="6">
        <v>0</v>
      </c>
      <c r="J29" s="6"/>
      <c r="K29" s="6">
        <v>0</v>
      </c>
      <c r="L29" s="5"/>
      <c r="Q29" s="110" t="s">
        <v>107</v>
      </c>
    </row>
    <row r="30" spans="3:17" ht="18.75" x14ac:dyDescent="0.3">
      <c r="C30" s="225"/>
      <c r="D30" s="197" t="s">
        <v>119</v>
      </c>
      <c r="E30" s="99" t="s">
        <v>169</v>
      </c>
      <c r="F30" s="203">
        <v>49743</v>
      </c>
      <c r="G30" s="6">
        <v>0</v>
      </c>
      <c r="H30" s="6">
        <v>0</v>
      </c>
      <c r="I30" s="6">
        <v>0</v>
      </c>
      <c r="J30" s="6"/>
      <c r="K30" s="6">
        <v>0</v>
      </c>
      <c r="L30" s="5"/>
      <c r="Q30" s="110" t="s">
        <v>28</v>
      </c>
    </row>
    <row r="31" spans="3:17" ht="18.75" x14ac:dyDescent="0.3">
      <c r="C31" s="225"/>
      <c r="D31" s="197" t="s">
        <v>145</v>
      </c>
      <c r="E31" s="99" t="s">
        <v>171</v>
      </c>
      <c r="F31" s="6">
        <v>0</v>
      </c>
      <c r="G31" s="203">
        <v>50000</v>
      </c>
      <c r="H31" s="6">
        <v>0</v>
      </c>
      <c r="I31" s="6">
        <v>0</v>
      </c>
      <c r="J31" s="6"/>
      <c r="K31" s="6">
        <v>0</v>
      </c>
      <c r="L31" s="5"/>
      <c r="Q31" s="110" t="s">
        <v>108</v>
      </c>
    </row>
    <row r="32" spans="3:17" ht="18.75" x14ac:dyDescent="0.3">
      <c r="C32" s="225"/>
      <c r="D32" s="197" t="s">
        <v>19</v>
      </c>
      <c r="E32" s="99" t="s">
        <v>169</v>
      </c>
      <c r="F32" s="207">
        <v>34980</v>
      </c>
      <c r="G32" s="6">
        <v>0</v>
      </c>
      <c r="H32" s="6">
        <v>0</v>
      </c>
      <c r="I32" s="6">
        <v>0</v>
      </c>
      <c r="J32" s="6"/>
      <c r="K32" s="6">
        <v>0</v>
      </c>
      <c r="L32" s="5"/>
      <c r="Q32" s="110" t="s">
        <v>29</v>
      </c>
    </row>
    <row r="33" spans="3:17" ht="18.75" x14ac:dyDescent="0.3">
      <c r="C33" s="225"/>
      <c r="D33" s="197" t="s">
        <v>106</v>
      </c>
      <c r="E33" s="99" t="s">
        <v>169</v>
      </c>
      <c r="F33" s="207">
        <v>39250</v>
      </c>
      <c r="G33" s="6">
        <v>0</v>
      </c>
      <c r="H33" s="6">
        <v>0</v>
      </c>
      <c r="I33" s="6">
        <v>0</v>
      </c>
      <c r="J33" s="6"/>
      <c r="K33" s="6">
        <v>0</v>
      </c>
      <c r="L33" s="5"/>
      <c r="Q33" s="110" t="s">
        <v>30</v>
      </c>
    </row>
    <row r="34" spans="3:17" ht="18.75" x14ac:dyDescent="0.3">
      <c r="C34" s="225"/>
      <c r="D34" s="197" t="s">
        <v>44</v>
      </c>
      <c r="E34" s="99" t="s">
        <v>173</v>
      </c>
      <c r="F34" s="6">
        <v>0</v>
      </c>
      <c r="G34" s="205">
        <v>55000</v>
      </c>
      <c r="H34" s="6">
        <v>0</v>
      </c>
      <c r="I34" s="6">
        <v>0</v>
      </c>
      <c r="J34" s="6"/>
      <c r="K34" s="6">
        <v>0</v>
      </c>
      <c r="L34" s="5"/>
      <c r="Q34" s="110" t="s">
        <v>31</v>
      </c>
    </row>
    <row r="35" spans="3:17" ht="18.75" x14ac:dyDescent="0.3">
      <c r="C35" s="225"/>
      <c r="D35" s="197" t="s">
        <v>154</v>
      </c>
      <c r="E35" s="99" t="s">
        <v>173</v>
      </c>
      <c r="F35" s="6">
        <v>0</v>
      </c>
      <c r="G35" s="205">
        <v>55000</v>
      </c>
      <c r="H35" s="6"/>
      <c r="I35" s="6">
        <v>0</v>
      </c>
      <c r="J35" s="6"/>
      <c r="K35" s="6">
        <v>0</v>
      </c>
      <c r="L35" s="5"/>
      <c r="Q35" s="110" t="s">
        <v>32</v>
      </c>
    </row>
    <row r="36" spans="3:17" ht="18.75" x14ac:dyDescent="0.3">
      <c r="C36" s="225"/>
      <c r="D36" s="197" t="s">
        <v>127</v>
      </c>
      <c r="E36" s="99" t="s">
        <v>169</v>
      </c>
      <c r="F36" s="207">
        <v>152200</v>
      </c>
      <c r="G36" s="6">
        <v>0</v>
      </c>
      <c r="H36" s="6">
        <v>0</v>
      </c>
      <c r="I36" s="6">
        <v>0</v>
      </c>
      <c r="J36" s="6"/>
      <c r="K36" s="6">
        <v>0</v>
      </c>
      <c r="L36" s="5"/>
      <c r="Q36" s="110" t="s">
        <v>109</v>
      </c>
    </row>
    <row r="37" spans="3:17" ht="18.75" x14ac:dyDescent="0.3">
      <c r="C37" s="225"/>
      <c r="D37" s="197" t="s">
        <v>154</v>
      </c>
      <c r="E37" s="99" t="s">
        <v>177</v>
      </c>
      <c r="F37" s="6">
        <v>0</v>
      </c>
      <c r="G37" s="210">
        <v>2000</v>
      </c>
      <c r="H37" s="6">
        <v>0</v>
      </c>
      <c r="J37" s="6"/>
      <c r="K37" s="6">
        <v>0</v>
      </c>
      <c r="L37" s="5"/>
      <c r="Q37" s="110" t="s">
        <v>33</v>
      </c>
    </row>
    <row r="38" spans="3:17" ht="18.75" x14ac:dyDescent="0.3">
      <c r="C38" s="225"/>
      <c r="D38" s="197" t="s">
        <v>44</v>
      </c>
      <c r="E38" s="99" t="s">
        <v>177</v>
      </c>
      <c r="F38" s="6">
        <v>0</v>
      </c>
      <c r="G38" s="210">
        <v>2000</v>
      </c>
      <c r="H38" s="6">
        <v>0</v>
      </c>
      <c r="J38" s="6"/>
      <c r="K38" s="6">
        <v>0</v>
      </c>
      <c r="L38" s="5"/>
      <c r="Q38" s="110" t="s">
        <v>34</v>
      </c>
    </row>
    <row r="39" spans="3:17" ht="18.75" x14ac:dyDescent="0.3">
      <c r="C39" s="225"/>
      <c r="D39" s="197"/>
      <c r="E39" s="99"/>
      <c r="F39" s="6">
        <v>0</v>
      </c>
      <c r="G39" s="6">
        <v>0</v>
      </c>
      <c r="H39" s="6">
        <v>0</v>
      </c>
      <c r="I39" s="6">
        <v>0</v>
      </c>
      <c r="J39" s="6"/>
      <c r="K39" s="6">
        <v>0</v>
      </c>
      <c r="L39" s="5"/>
      <c r="Q39" s="110" t="s">
        <v>35</v>
      </c>
    </row>
    <row r="40" spans="3:17" ht="18.75" x14ac:dyDescent="0.3">
      <c r="C40" s="225"/>
      <c r="D40" s="197"/>
      <c r="E40" s="99"/>
      <c r="F40" s="6">
        <v>0</v>
      </c>
      <c r="G40" s="6">
        <v>0</v>
      </c>
      <c r="H40" s="6">
        <v>0</v>
      </c>
      <c r="I40" s="6">
        <v>0</v>
      </c>
      <c r="J40" s="6"/>
      <c r="K40" s="6">
        <v>0</v>
      </c>
      <c r="L40" s="209">
        <f>SUM(G34:G36)</f>
        <v>110000</v>
      </c>
      <c r="Q40" s="110" t="s">
        <v>110</v>
      </c>
    </row>
    <row r="41" spans="3:17" ht="18.75" x14ac:dyDescent="0.3">
      <c r="C41" s="225"/>
      <c r="D41" s="197"/>
      <c r="E41" s="99"/>
      <c r="F41" s="6">
        <v>0</v>
      </c>
      <c r="G41" s="6">
        <v>0</v>
      </c>
      <c r="H41" s="6">
        <v>0</v>
      </c>
      <c r="I41" s="6">
        <v>0</v>
      </c>
      <c r="J41" s="6"/>
      <c r="K41" s="6">
        <v>0</v>
      </c>
      <c r="L41" s="206">
        <f>SUM(F26+F27+F29+F30+G31)</f>
        <v>480146</v>
      </c>
      <c r="Q41" s="110" t="s">
        <v>102</v>
      </c>
    </row>
    <row r="42" spans="3:17" ht="18.75" x14ac:dyDescent="0.3">
      <c r="C42" s="226"/>
      <c r="D42" s="197"/>
      <c r="E42" s="99"/>
      <c r="F42" s="6">
        <v>0</v>
      </c>
      <c r="G42" s="6">
        <v>0</v>
      </c>
      <c r="H42" s="6">
        <v>0</v>
      </c>
      <c r="I42" s="6">
        <v>0</v>
      </c>
      <c r="J42" s="6"/>
      <c r="K42" s="6">
        <v>0</v>
      </c>
      <c r="L42" s="208">
        <f>SUM(F32:F36)</f>
        <v>226430</v>
      </c>
      <c r="Q42" s="110" t="s">
        <v>111</v>
      </c>
    </row>
    <row r="43" spans="3:17" ht="18.75" x14ac:dyDescent="0.3">
      <c r="C43" s="101"/>
      <c r="D43" s="117"/>
      <c r="E43" s="102" t="s">
        <v>27</v>
      </c>
      <c r="F43" s="33">
        <f>SUM(F26:F42)</f>
        <v>656576</v>
      </c>
      <c r="G43" s="33">
        <f>SUM(G26:G42)</f>
        <v>164000</v>
      </c>
      <c r="H43" s="33">
        <f>SUM(H26:H42)</f>
        <v>1100000</v>
      </c>
      <c r="I43" s="33">
        <f>SUM(I26:I42)</f>
        <v>0</v>
      </c>
      <c r="J43" s="33">
        <f>SUM(J26:J42)</f>
        <v>0</v>
      </c>
      <c r="K43" s="33">
        <f>SUM(F43:J43)-J43</f>
        <v>1920576</v>
      </c>
      <c r="L43" s="16">
        <f>L41+L42</f>
        <v>706576</v>
      </c>
      <c r="Q43" s="110" t="s">
        <v>36</v>
      </c>
    </row>
    <row r="44" spans="3:17" ht="18.75" x14ac:dyDescent="0.3">
      <c r="C44" s="224">
        <v>3</v>
      </c>
      <c r="D44" s="197" t="s">
        <v>20</v>
      </c>
      <c r="E44" s="15" t="s">
        <v>169</v>
      </c>
      <c r="F44" s="200">
        <v>24075</v>
      </c>
      <c r="G44" s="6">
        <v>0</v>
      </c>
      <c r="H44" s="6">
        <v>0</v>
      </c>
      <c r="I44" s="6">
        <v>0</v>
      </c>
      <c r="J44" s="6"/>
      <c r="K44" s="6">
        <v>0</v>
      </c>
      <c r="L44" s="5"/>
      <c r="Q44" s="110" t="s">
        <v>37</v>
      </c>
    </row>
    <row r="45" spans="3:17" ht="18.75" x14ac:dyDescent="0.3">
      <c r="C45" s="225"/>
      <c r="D45" s="197" t="s">
        <v>37</v>
      </c>
      <c r="E45" s="15" t="s">
        <v>171</v>
      </c>
      <c r="F45" s="6">
        <v>0</v>
      </c>
      <c r="G45" s="200">
        <v>55000</v>
      </c>
      <c r="H45" s="6">
        <v>0</v>
      </c>
      <c r="I45" s="6">
        <v>0</v>
      </c>
      <c r="J45" s="6"/>
      <c r="K45" s="6">
        <v>0</v>
      </c>
      <c r="L45" s="5"/>
      <c r="Q45" s="110" t="s">
        <v>112</v>
      </c>
    </row>
    <row r="46" spans="3:17" ht="18.75" x14ac:dyDescent="0.3">
      <c r="C46" s="225"/>
      <c r="D46" s="99" t="s">
        <v>175</v>
      </c>
      <c r="E46" s="6" t="s">
        <v>172</v>
      </c>
      <c r="F46" s="6"/>
      <c r="G46" s="6">
        <v>0</v>
      </c>
      <c r="H46" s="6">
        <v>0</v>
      </c>
      <c r="I46" s="200">
        <v>7000</v>
      </c>
      <c r="J46" s="6"/>
      <c r="K46" s="6">
        <v>0</v>
      </c>
      <c r="L46" s="5"/>
      <c r="Q46" s="110" t="s">
        <v>113</v>
      </c>
    </row>
    <row r="47" spans="3:17" ht="18.75" x14ac:dyDescent="0.3">
      <c r="C47" s="225"/>
      <c r="D47" s="99" t="s">
        <v>44</v>
      </c>
      <c r="E47" s="99" t="s">
        <v>177</v>
      </c>
      <c r="F47" s="6">
        <v>0</v>
      </c>
      <c r="G47" s="210">
        <v>4000</v>
      </c>
      <c r="H47" s="6">
        <v>0</v>
      </c>
      <c r="I47" s="6">
        <v>0</v>
      </c>
      <c r="J47" s="6"/>
      <c r="K47" s="6">
        <v>0</v>
      </c>
      <c r="L47" s="5"/>
      <c r="Q47" s="110" t="s">
        <v>114</v>
      </c>
    </row>
    <row r="48" spans="3:17" ht="18.75" x14ac:dyDescent="0.3">
      <c r="C48" s="225"/>
      <c r="D48" s="197" t="s">
        <v>154</v>
      </c>
      <c r="E48" s="99" t="s">
        <v>177</v>
      </c>
      <c r="F48" s="6">
        <v>0</v>
      </c>
      <c r="G48" s="210">
        <v>4000</v>
      </c>
      <c r="H48" s="6">
        <v>0</v>
      </c>
      <c r="I48" s="6">
        <v>0</v>
      </c>
      <c r="J48" s="6"/>
      <c r="K48" s="6">
        <v>0</v>
      </c>
      <c r="L48" s="5"/>
      <c r="Q48" s="110" t="s">
        <v>115</v>
      </c>
    </row>
    <row r="49" spans="3:17" ht="18.75" x14ac:dyDescent="0.3">
      <c r="C49" s="225"/>
      <c r="D49" s="197" t="s">
        <v>19</v>
      </c>
      <c r="E49" s="99" t="s">
        <v>169</v>
      </c>
      <c r="F49" s="207">
        <v>57714</v>
      </c>
      <c r="G49" s="6">
        <v>0</v>
      </c>
      <c r="H49" s="6">
        <v>0</v>
      </c>
      <c r="I49" s="6">
        <v>0</v>
      </c>
      <c r="J49" s="6"/>
      <c r="K49" s="6">
        <v>0</v>
      </c>
      <c r="L49" s="5"/>
      <c r="Q49" s="110" t="s">
        <v>38</v>
      </c>
    </row>
    <row r="50" spans="3:17" ht="18.75" x14ac:dyDescent="0.3">
      <c r="C50" s="225"/>
      <c r="D50" s="197" t="s">
        <v>40</v>
      </c>
      <c r="E50" s="99" t="s">
        <v>169</v>
      </c>
      <c r="F50" s="207">
        <v>22380</v>
      </c>
      <c r="G50" s="6">
        <v>0</v>
      </c>
      <c r="H50" s="6">
        <v>0</v>
      </c>
      <c r="I50" s="6">
        <v>0</v>
      </c>
      <c r="J50" s="6"/>
      <c r="K50" s="6">
        <v>0</v>
      </c>
      <c r="L50" s="5"/>
      <c r="Q50" s="110" t="s">
        <v>116</v>
      </c>
    </row>
    <row r="51" spans="3:17" ht="18.75" x14ac:dyDescent="0.3">
      <c r="C51" s="225"/>
      <c r="D51" s="197" t="s">
        <v>127</v>
      </c>
      <c r="E51" s="99" t="s">
        <v>169</v>
      </c>
      <c r="F51" s="207">
        <v>87000</v>
      </c>
      <c r="G51" s="6">
        <v>0</v>
      </c>
      <c r="H51" s="6">
        <v>0</v>
      </c>
      <c r="I51" s="6">
        <v>0</v>
      </c>
      <c r="J51" s="6"/>
      <c r="K51" s="6">
        <v>0</v>
      </c>
      <c r="L51" s="5"/>
      <c r="Q51" s="110" t="s">
        <v>117</v>
      </c>
    </row>
    <row r="52" spans="3:17" ht="18.75" x14ac:dyDescent="0.3">
      <c r="C52" s="225"/>
      <c r="D52" s="197" t="s">
        <v>44</v>
      </c>
      <c r="E52" s="99" t="s">
        <v>173</v>
      </c>
      <c r="F52" s="6">
        <v>0</v>
      </c>
      <c r="G52" s="207">
        <v>55000</v>
      </c>
      <c r="H52" s="6">
        <v>0</v>
      </c>
      <c r="I52" s="6">
        <v>0</v>
      </c>
      <c r="J52" s="6"/>
      <c r="K52" s="6">
        <v>0</v>
      </c>
      <c r="L52" s="5"/>
      <c r="Q52" s="110" t="s">
        <v>118</v>
      </c>
    </row>
    <row r="53" spans="3:17" ht="18.75" x14ac:dyDescent="0.3">
      <c r="C53" s="225"/>
      <c r="D53" s="197" t="s">
        <v>154</v>
      </c>
      <c r="E53" s="99" t="s">
        <v>173</v>
      </c>
      <c r="F53" s="6">
        <v>0</v>
      </c>
      <c r="G53" s="207">
        <v>55000</v>
      </c>
      <c r="H53" s="6">
        <v>0</v>
      </c>
      <c r="I53" s="6">
        <v>0</v>
      </c>
      <c r="J53" s="6"/>
      <c r="K53" s="6">
        <v>0</v>
      </c>
      <c r="L53" s="5"/>
      <c r="Q53" s="110" t="s">
        <v>39</v>
      </c>
    </row>
    <row r="54" spans="3:17" ht="18.75" x14ac:dyDescent="0.3">
      <c r="C54" s="225"/>
      <c r="D54" s="197"/>
      <c r="E54" s="99"/>
      <c r="F54" s="6">
        <v>0</v>
      </c>
      <c r="G54" s="6">
        <v>0</v>
      </c>
      <c r="H54" s="6">
        <v>0</v>
      </c>
      <c r="I54" s="6">
        <v>0</v>
      </c>
      <c r="J54" s="6"/>
      <c r="K54" s="6">
        <v>0</v>
      </c>
      <c r="L54" s="5"/>
      <c r="Q54" s="110" t="s">
        <v>141</v>
      </c>
    </row>
    <row r="55" spans="3:17" ht="18.75" x14ac:dyDescent="0.3">
      <c r="C55" s="225"/>
      <c r="D55" s="197"/>
      <c r="E55" s="99"/>
      <c r="F55" s="6">
        <v>0</v>
      </c>
      <c r="G55" s="6">
        <v>0</v>
      </c>
      <c r="H55" s="6">
        <v>0</v>
      </c>
      <c r="I55" s="6">
        <v>0</v>
      </c>
      <c r="J55" s="6"/>
      <c r="K55" s="6">
        <v>0</v>
      </c>
      <c r="L55" s="5"/>
      <c r="Q55" s="110" t="s">
        <v>119</v>
      </c>
    </row>
    <row r="56" spans="3:17" ht="18.75" x14ac:dyDescent="0.3">
      <c r="C56" s="225"/>
      <c r="D56" s="197"/>
      <c r="E56" s="99"/>
      <c r="F56" s="6">
        <v>0</v>
      </c>
      <c r="G56" s="6">
        <v>0</v>
      </c>
      <c r="H56" s="6">
        <v>0</v>
      </c>
      <c r="I56" s="6">
        <v>0</v>
      </c>
      <c r="J56" s="6"/>
      <c r="K56" s="6">
        <v>0</v>
      </c>
      <c r="L56" s="5"/>
      <c r="Q56" s="110" t="s">
        <v>40</v>
      </c>
    </row>
    <row r="57" spans="3:17" ht="18.75" x14ac:dyDescent="0.3">
      <c r="C57" s="225"/>
      <c r="D57" s="197"/>
      <c r="E57" s="99"/>
      <c r="F57" s="6">
        <v>0</v>
      </c>
      <c r="G57" s="6">
        <v>0</v>
      </c>
      <c r="H57" s="6">
        <v>0</v>
      </c>
      <c r="I57" s="6">
        <v>0</v>
      </c>
      <c r="J57" s="6"/>
      <c r="K57" s="6">
        <v>0</v>
      </c>
      <c r="L57" s="5"/>
      <c r="Q57" s="110" t="s">
        <v>41</v>
      </c>
    </row>
    <row r="58" spans="3:17" ht="18.75" x14ac:dyDescent="0.3">
      <c r="C58" s="225"/>
      <c r="D58" s="197"/>
      <c r="E58" s="99"/>
      <c r="F58" s="6">
        <v>0</v>
      </c>
      <c r="G58" s="6">
        <v>0</v>
      </c>
      <c r="H58" s="6">
        <v>0</v>
      </c>
      <c r="I58" s="6">
        <v>0</v>
      </c>
      <c r="J58" s="6"/>
      <c r="K58" s="6">
        <v>0</v>
      </c>
      <c r="L58" s="198">
        <f>SUM(F44:J46)</f>
        <v>86075</v>
      </c>
      <c r="Q58" s="110" t="s">
        <v>42</v>
      </c>
    </row>
    <row r="59" spans="3:17" ht="18.75" x14ac:dyDescent="0.3">
      <c r="C59" s="225"/>
      <c r="D59" s="197"/>
      <c r="E59" s="99"/>
      <c r="F59" s="6">
        <v>0</v>
      </c>
      <c r="G59" s="6">
        <v>0</v>
      </c>
      <c r="H59" s="6">
        <v>0</v>
      </c>
      <c r="I59" s="6">
        <v>0</v>
      </c>
      <c r="J59" s="6"/>
      <c r="K59" s="6">
        <v>0</v>
      </c>
      <c r="L59" s="208">
        <f>SUM(F49:F51)+G52+G53</f>
        <v>277094</v>
      </c>
      <c r="Q59" s="110" t="s">
        <v>120</v>
      </c>
    </row>
    <row r="60" spans="3:17" ht="18.75" x14ac:dyDescent="0.3">
      <c r="C60" s="225"/>
      <c r="D60" s="197"/>
      <c r="E60" s="99"/>
      <c r="F60" s="6">
        <v>0</v>
      </c>
      <c r="G60" s="6">
        <v>0</v>
      </c>
      <c r="H60" s="6">
        <v>0</v>
      </c>
      <c r="I60" s="6">
        <v>0</v>
      </c>
      <c r="J60" s="6"/>
      <c r="K60" s="6">
        <v>0</v>
      </c>
      <c r="L60" s="108">
        <f>L58+L59</f>
        <v>363169</v>
      </c>
      <c r="Q60" s="110" t="s">
        <v>43</v>
      </c>
    </row>
    <row r="61" spans="3:17" ht="18.75" x14ac:dyDescent="0.3">
      <c r="C61" s="101"/>
      <c r="D61" s="117"/>
      <c r="E61" s="102" t="s">
        <v>27</v>
      </c>
      <c r="F61" s="33">
        <f>SUM(F44:F60)</f>
        <v>191169</v>
      </c>
      <c r="G61" s="33">
        <f>SUM(G44:G60)</f>
        <v>173000</v>
      </c>
      <c r="H61" s="33">
        <f>SUM(H44:H60)</f>
        <v>0</v>
      </c>
      <c r="I61" s="33">
        <f>SUM(I44:I60)</f>
        <v>7000</v>
      </c>
      <c r="J61" s="33">
        <f>SUM(J44:J60)</f>
        <v>0</v>
      </c>
      <c r="K61" s="33">
        <f>SUM(F61:J61)-J61</f>
        <v>371169</v>
      </c>
      <c r="L61" s="16"/>
      <c r="Q61" s="110" t="s">
        <v>121</v>
      </c>
    </row>
    <row r="62" spans="3:17" ht="18.75" x14ac:dyDescent="0.3">
      <c r="C62" s="224">
        <v>4</v>
      </c>
      <c r="D62" s="197" t="s">
        <v>34</v>
      </c>
      <c r="E62" s="15" t="s">
        <v>169</v>
      </c>
      <c r="F62" s="200">
        <v>10000</v>
      </c>
      <c r="G62" s="6">
        <v>0</v>
      </c>
      <c r="H62" s="6">
        <v>0</v>
      </c>
      <c r="I62" s="6">
        <v>0</v>
      </c>
      <c r="J62" s="6"/>
      <c r="K62" s="6">
        <v>0</v>
      </c>
      <c r="L62" s="5"/>
      <c r="Q62" s="110" t="s">
        <v>122</v>
      </c>
    </row>
    <row r="63" spans="3:17" ht="18.75" x14ac:dyDescent="0.3">
      <c r="C63" s="225"/>
      <c r="D63" s="197" t="s">
        <v>37</v>
      </c>
      <c r="E63" s="99" t="s">
        <v>171</v>
      </c>
      <c r="F63" s="6">
        <v>0</v>
      </c>
      <c r="G63" s="200">
        <v>55000</v>
      </c>
      <c r="H63" s="6">
        <v>0</v>
      </c>
      <c r="I63" s="6">
        <v>0</v>
      </c>
      <c r="J63" s="6"/>
      <c r="K63" s="6">
        <v>0</v>
      </c>
      <c r="L63" s="5"/>
      <c r="Q63" s="110" t="s">
        <v>123</v>
      </c>
    </row>
    <row r="64" spans="3:17" ht="18.75" x14ac:dyDescent="0.3">
      <c r="C64" s="225"/>
      <c r="D64" s="197" t="s">
        <v>106</v>
      </c>
      <c r="E64" s="15" t="s">
        <v>169</v>
      </c>
      <c r="F64" s="201">
        <v>16850</v>
      </c>
      <c r="G64" s="6">
        <v>0</v>
      </c>
      <c r="H64" s="6">
        <v>0</v>
      </c>
      <c r="I64" s="6">
        <v>0</v>
      </c>
      <c r="J64" s="6"/>
      <c r="K64" s="6">
        <v>0</v>
      </c>
      <c r="L64" s="5"/>
      <c r="Q64" s="110" t="s">
        <v>101</v>
      </c>
    </row>
    <row r="65" spans="3:17" ht="18.75" x14ac:dyDescent="0.3">
      <c r="C65" s="225"/>
      <c r="D65" s="197" t="s">
        <v>19</v>
      </c>
      <c r="E65" s="15" t="s">
        <v>169</v>
      </c>
      <c r="F65" s="201">
        <v>34060</v>
      </c>
      <c r="G65" s="6">
        <v>0</v>
      </c>
      <c r="H65" s="6">
        <v>0</v>
      </c>
      <c r="I65" s="6">
        <v>0</v>
      </c>
      <c r="J65" s="6"/>
      <c r="K65" s="6">
        <v>0</v>
      </c>
      <c r="L65" s="5"/>
      <c r="Q65" s="110" t="s">
        <v>145</v>
      </c>
    </row>
    <row r="66" spans="3:17" ht="18.75" x14ac:dyDescent="0.3">
      <c r="C66" s="225"/>
      <c r="D66" s="197" t="s">
        <v>40</v>
      </c>
      <c r="E66" s="15" t="s">
        <v>169</v>
      </c>
      <c r="F66" s="201">
        <v>33380</v>
      </c>
      <c r="G66" s="6">
        <v>0</v>
      </c>
      <c r="H66" s="6">
        <v>0</v>
      </c>
      <c r="I66" s="6">
        <v>0</v>
      </c>
      <c r="J66" s="6"/>
      <c r="K66" s="6">
        <v>0</v>
      </c>
      <c r="L66" s="5"/>
      <c r="Q66" s="110" t="s">
        <v>44</v>
      </c>
    </row>
    <row r="67" spans="3:17" ht="18.75" x14ac:dyDescent="0.3">
      <c r="C67" s="225"/>
      <c r="D67" s="197" t="s">
        <v>44</v>
      </c>
      <c r="E67" s="99" t="s">
        <v>173</v>
      </c>
      <c r="F67" s="6">
        <v>0</v>
      </c>
      <c r="G67" s="201">
        <v>50000</v>
      </c>
      <c r="H67" s="6">
        <v>0</v>
      </c>
      <c r="I67" s="6">
        <v>0</v>
      </c>
      <c r="J67" s="6"/>
      <c r="K67" s="6">
        <v>0</v>
      </c>
      <c r="L67" s="5"/>
      <c r="Q67" s="112" t="s">
        <v>140</v>
      </c>
    </row>
    <row r="68" spans="3:17" ht="18.75" x14ac:dyDescent="0.3">
      <c r="C68" s="225"/>
      <c r="D68" s="197" t="s">
        <v>145</v>
      </c>
      <c r="E68" s="99" t="s">
        <v>173</v>
      </c>
      <c r="F68" s="6">
        <v>0</v>
      </c>
      <c r="G68" s="201">
        <v>50000</v>
      </c>
      <c r="H68" s="6">
        <v>0</v>
      </c>
      <c r="I68" s="6">
        <v>0</v>
      </c>
      <c r="J68" s="6"/>
      <c r="K68" s="6">
        <v>0</v>
      </c>
      <c r="L68" s="5"/>
      <c r="Q68" s="110" t="s">
        <v>124</v>
      </c>
    </row>
    <row r="69" spans="3:17" ht="18.75" x14ac:dyDescent="0.3">
      <c r="C69" s="225"/>
      <c r="D69" s="197"/>
      <c r="E69" s="99"/>
      <c r="F69" s="6">
        <v>0</v>
      </c>
      <c r="G69" s="6">
        <v>0</v>
      </c>
      <c r="H69" s="6">
        <v>0</v>
      </c>
      <c r="I69" s="6">
        <v>0</v>
      </c>
      <c r="J69" s="6"/>
      <c r="K69" s="6">
        <v>0</v>
      </c>
      <c r="L69" s="5"/>
      <c r="Q69" s="110" t="s">
        <v>142</v>
      </c>
    </row>
    <row r="70" spans="3:17" ht="18.75" x14ac:dyDescent="0.3">
      <c r="C70" s="225"/>
      <c r="D70" s="197"/>
      <c r="E70" s="99"/>
      <c r="F70" s="6">
        <v>0</v>
      </c>
      <c r="G70" s="6">
        <v>0</v>
      </c>
      <c r="H70" s="6">
        <v>0</v>
      </c>
      <c r="I70" s="6">
        <v>0</v>
      </c>
      <c r="J70" s="6"/>
      <c r="K70" s="6">
        <v>0</v>
      </c>
      <c r="L70" s="5"/>
      <c r="Q70" s="111" t="s">
        <v>45</v>
      </c>
    </row>
    <row r="71" spans="3:17" ht="18.75" x14ac:dyDescent="0.3">
      <c r="C71" s="225"/>
      <c r="D71" s="197"/>
      <c r="E71" s="99"/>
      <c r="F71" s="6">
        <v>0</v>
      </c>
      <c r="G71" s="6"/>
      <c r="H71" s="6">
        <v>0</v>
      </c>
      <c r="I71" s="6">
        <v>0</v>
      </c>
      <c r="J71" s="6"/>
      <c r="K71" s="6">
        <v>0</v>
      </c>
      <c r="L71" s="5"/>
      <c r="Q71" s="111" t="s">
        <v>126</v>
      </c>
    </row>
    <row r="72" spans="3:17" ht="18.75" x14ac:dyDescent="0.3">
      <c r="C72" s="225"/>
      <c r="D72" s="197"/>
      <c r="E72" s="99"/>
      <c r="F72" s="6">
        <v>0</v>
      </c>
      <c r="G72" s="6">
        <v>0</v>
      </c>
      <c r="H72" s="6">
        <v>0</v>
      </c>
      <c r="I72" s="6">
        <v>0</v>
      </c>
      <c r="J72" s="6"/>
      <c r="K72" s="6">
        <v>0</v>
      </c>
      <c r="L72" s="5"/>
      <c r="Q72" s="110" t="s">
        <v>46</v>
      </c>
    </row>
    <row r="73" spans="3:17" ht="18.75" x14ac:dyDescent="0.3">
      <c r="C73" s="225"/>
      <c r="D73" s="197"/>
      <c r="E73" s="99"/>
      <c r="F73" s="6">
        <v>0</v>
      </c>
      <c r="G73" s="6">
        <v>0</v>
      </c>
      <c r="H73" s="6">
        <v>0</v>
      </c>
      <c r="I73" s="6">
        <v>0</v>
      </c>
      <c r="J73" s="6"/>
      <c r="K73" s="6">
        <v>0</v>
      </c>
      <c r="L73" s="5"/>
      <c r="Q73" s="110" t="s">
        <v>127</v>
      </c>
    </row>
    <row r="74" spans="3:17" ht="18.75" x14ac:dyDescent="0.3">
      <c r="C74" s="225"/>
      <c r="D74" s="197"/>
      <c r="E74" s="99"/>
      <c r="F74" s="6">
        <v>0</v>
      </c>
      <c r="G74" s="6">
        <v>0</v>
      </c>
      <c r="H74" s="6">
        <v>0</v>
      </c>
      <c r="I74" s="6">
        <v>0</v>
      </c>
      <c r="J74" s="6"/>
      <c r="K74" s="6">
        <v>0</v>
      </c>
      <c r="L74" s="198">
        <f>SUM(F62:G63)</f>
        <v>65000</v>
      </c>
      <c r="Q74" s="110" t="s">
        <v>125</v>
      </c>
    </row>
    <row r="75" spans="3:17" ht="18.75" x14ac:dyDescent="0.3">
      <c r="C75" s="225"/>
      <c r="D75" s="197"/>
      <c r="E75" s="99"/>
      <c r="F75" s="6">
        <v>0</v>
      </c>
      <c r="G75" s="6">
        <v>0</v>
      </c>
      <c r="H75" s="6">
        <v>0</v>
      </c>
      <c r="I75" s="6">
        <v>0</v>
      </c>
      <c r="J75" s="6"/>
      <c r="K75" s="6">
        <v>0</v>
      </c>
      <c r="L75" s="202">
        <f>SUM(F64+F65+F66+G67+G68)</f>
        <v>184290</v>
      </c>
      <c r="Q75" s="110" t="s">
        <v>45</v>
      </c>
    </row>
    <row r="76" spans="3:17" ht="18.75" x14ac:dyDescent="0.3">
      <c r="C76" s="225"/>
      <c r="D76" s="197"/>
      <c r="E76" s="99"/>
      <c r="F76" s="6">
        <v>0</v>
      </c>
      <c r="G76" s="6">
        <v>0</v>
      </c>
      <c r="H76" s="6">
        <v>0</v>
      </c>
      <c r="I76" s="6">
        <v>0</v>
      </c>
      <c r="J76" s="6"/>
      <c r="K76" s="6">
        <v>0</v>
      </c>
      <c r="L76" s="5"/>
      <c r="Q76" s="110" t="s">
        <v>128</v>
      </c>
    </row>
    <row r="77" spans="3:17" ht="18.75" x14ac:dyDescent="0.3">
      <c r="C77" s="101"/>
      <c r="D77" s="117"/>
      <c r="E77" s="102" t="s">
        <v>27</v>
      </c>
      <c r="F77" s="33">
        <f>SUM(F62:F76)</f>
        <v>94290</v>
      </c>
      <c r="G77" s="33">
        <f>SUM(G62:G76)</f>
        <v>155000</v>
      </c>
      <c r="H77" s="33">
        <f>SUM(H62:H76)</f>
        <v>0</v>
      </c>
      <c r="I77" s="33">
        <f>SUM(I62:I76)</f>
        <v>0</v>
      </c>
      <c r="J77" s="33">
        <f>SUM(J62:J76)</f>
        <v>0</v>
      </c>
      <c r="K77" s="33">
        <f>SUM(F77:J77)-J77</f>
        <v>249290</v>
      </c>
      <c r="L77" s="16"/>
      <c r="Q77" s="110" t="s">
        <v>143</v>
      </c>
    </row>
    <row r="78" spans="3:17" ht="18.75" x14ac:dyDescent="0.3">
      <c r="C78" s="224">
        <v>5</v>
      </c>
      <c r="D78" s="197" t="s">
        <v>34</v>
      </c>
      <c r="E78" s="15" t="s">
        <v>169</v>
      </c>
      <c r="F78" s="203">
        <v>10000</v>
      </c>
      <c r="G78" s="6">
        <v>0</v>
      </c>
      <c r="H78" s="6">
        <v>0</v>
      </c>
      <c r="I78" s="6">
        <v>0</v>
      </c>
      <c r="J78" s="6"/>
      <c r="K78" s="6">
        <v>0</v>
      </c>
      <c r="L78" s="5"/>
      <c r="Q78" s="110" t="s">
        <v>147</v>
      </c>
    </row>
    <row r="79" spans="3:17" ht="18.75" x14ac:dyDescent="0.3">
      <c r="C79" s="225"/>
      <c r="D79" s="197" t="s">
        <v>148</v>
      </c>
      <c r="E79" s="15" t="s">
        <v>169</v>
      </c>
      <c r="F79" s="203">
        <v>194600</v>
      </c>
      <c r="G79" s="6">
        <v>0</v>
      </c>
      <c r="H79" s="6">
        <v>0</v>
      </c>
      <c r="I79" s="6">
        <v>0</v>
      </c>
      <c r="J79" s="6"/>
      <c r="K79" s="6">
        <v>0</v>
      </c>
      <c r="L79" s="5"/>
      <c r="Q79" s="110" t="s">
        <v>129</v>
      </c>
    </row>
    <row r="80" spans="3:17" ht="18.75" x14ac:dyDescent="0.3">
      <c r="C80" s="225"/>
      <c r="D80" s="197" t="s">
        <v>148</v>
      </c>
      <c r="E80" s="15" t="s">
        <v>169</v>
      </c>
      <c r="F80" s="203">
        <v>35900</v>
      </c>
      <c r="G80" s="6">
        <v>0</v>
      </c>
      <c r="H80" s="6">
        <v>0</v>
      </c>
      <c r="I80" s="6">
        <v>0</v>
      </c>
      <c r="J80" s="6"/>
      <c r="K80" s="6">
        <v>0</v>
      </c>
      <c r="L80" s="5"/>
      <c r="Q80" s="110" t="s">
        <v>130</v>
      </c>
    </row>
    <row r="81" spans="3:17" ht="18.75" x14ac:dyDescent="0.3">
      <c r="C81" s="225"/>
      <c r="D81" s="197" t="s">
        <v>22</v>
      </c>
      <c r="E81" s="15" t="s">
        <v>169</v>
      </c>
      <c r="F81" s="203">
        <v>222600</v>
      </c>
      <c r="G81" s="6">
        <v>0</v>
      </c>
      <c r="H81" s="6">
        <v>0</v>
      </c>
      <c r="I81" s="6">
        <v>0</v>
      </c>
      <c r="J81" s="6"/>
      <c r="K81" s="6">
        <v>0</v>
      </c>
      <c r="L81" s="5"/>
      <c r="Q81" s="110" t="s">
        <v>131</v>
      </c>
    </row>
    <row r="82" spans="3:17" ht="18.75" x14ac:dyDescent="0.3">
      <c r="C82" s="225"/>
      <c r="D82" s="197" t="s">
        <v>119</v>
      </c>
      <c r="E82" s="15" t="s">
        <v>169</v>
      </c>
      <c r="F82" s="203">
        <v>49743</v>
      </c>
      <c r="G82" s="6">
        <v>0</v>
      </c>
      <c r="H82" s="6">
        <v>0</v>
      </c>
      <c r="I82" s="6">
        <v>0</v>
      </c>
      <c r="J82" s="6"/>
      <c r="K82" s="6">
        <v>0</v>
      </c>
      <c r="L82" s="5"/>
      <c r="Q82" s="110" t="s">
        <v>132</v>
      </c>
    </row>
    <row r="83" spans="3:17" ht="18.75" x14ac:dyDescent="0.3">
      <c r="C83" s="225"/>
      <c r="D83" s="197" t="s">
        <v>24</v>
      </c>
      <c r="E83" s="15" t="s">
        <v>169</v>
      </c>
      <c r="F83" s="204">
        <v>360403</v>
      </c>
      <c r="G83" s="6">
        <v>0</v>
      </c>
      <c r="H83" s="6">
        <v>0</v>
      </c>
      <c r="I83" s="6">
        <v>0</v>
      </c>
      <c r="J83" s="6"/>
      <c r="K83" s="6">
        <v>0</v>
      </c>
      <c r="L83" s="5"/>
      <c r="Q83" s="110" t="s">
        <v>127</v>
      </c>
    </row>
    <row r="84" spans="3:17" ht="18.75" x14ac:dyDescent="0.3">
      <c r="C84" s="225"/>
      <c r="D84" s="197" t="s">
        <v>134</v>
      </c>
      <c r="E84" s="99" t="s">
        <v>178</v>
      </c>
      <c r="F84" s="203">
        <v>1500</v>
      </c>
      <c r="G84" s="6">
        <v>0</v>
      </c>
      <c r="H84" s="6">
        <v>0</v>
      </c>
      <c r="I84" s="6">
        <v>0</v>
      </c>
      <c r="J84" s="6"/>
      <c r="K84" s="6">
        <v>0</v>
      </c>
      <c r="L84" s="5"/>
      <c r="Q84" s="110" t="s">
        <v>124</v>
      </c>
    </row>
    <row r="85" spans="3:17" ht="18.75" x14ac:dyDescent="0.3">
      <c r="C85" s="225"/>
      <c r="D85" s="197" t="s">
        <v>145</v>
      </c>
      <c r="E85" s="99" t="s">
        <v>171</v>
      </c>
      <c r="F85" s="6">
        <v>0</v>
      </c>
      <c r="G85" s="203">
        <v>50000</v>
      </c>
      <c r="H85" s="6">
        <v>0</v>
      </c>
      <c r="I85" s="6">
        <v>0</v>
      </c>
      <c r="J85" s="6"/>
      <c r="K85" s="6">
        <v>0</v>
      </c>
      <c r="L85" s="5"/>
      <c r="Q85" s="110" t="s">
        <v>144</v>
      </c>
    </row>
    <row r="86" spans="3:17" ht="18.75" x14ac:dyDescent="0.3">
      <c r="C86" s="225"/>
      <c r="D86" s="197" t="s">
        <v>46</v>
      </c>
      <c r="E86" s="99" t="s">
        <v>172</v>
      </c>
      <c r="F86" s="6">
        <v>0</v>
      </c>
      <c r="G86" s="6">
        <v>0</v>
      </c>
      <c r="H86" s="6">
        <v>0</v>
      </c>
      <c r="I86" s="207">
        <v>10000</v>
      </c>
      <c r="J86" s="6"/>
      <c r="K86" s="6">
        <v>0</v>
      </c>
      <c r="L86" s="5"/>
      <c r="Q86" s="110" t="s">
        <v>133</v>
      </c>
    </row>
    <row r="87" spans="3:17" ht="18.75" x14ac:dyDescent="0.3">
      <c r="C87" s="225"/>
      <c r="D87" s="197" t="s">
        <v>154</v>
      </c>
      <c r="E87" s="99" t="s">
        <v>173</v>
      </c>
      <c r="F87" s="6">
        <v>0</v>
      </c>
      <c r="G87" s="204">
        <v>50000</v>
      </c>
      <c r="H87" s="6">
        <v>0</v>
      </c>
      <c r="I87" s="6">
        <v>0</v>
      </c>
      <c r="J87" s="6"/>
      <c r="K87" s="6">
        <v>0</v>
      </c>
      <c r="L87" s="5"/>
      <c r="Q87" s="110" t="s">
        <v>134</v>
      </c>
    </row>
    <row r="88" spans="3:17" ht="18.75" x14ac:dyDescent="0.3">
      <c r="C88" s="225"/>
      <c r="D88" s="197" t="s">
        <v>37</v>
      </c>
      <c r="E88" s="99" t="s">
        <v>173</v>
      </c>
      <c r="F88" s="6">
        <v>0</v>
      </c>
      <c r="G88" s="204">
        <v>50000</v>
      </c>
      <c r="H88" s="6">
        <v>0</v>
      </c>
      <c r="I88" s="6">
        <v>0</v>
      </c>
      <c r="J88" s="6"/>
      <c r="K88" s="6">
        <v>0</v>
      </c>
      <c r="L88" s="5"/>
      <c r="Q88" s="110" t="s">
        <v>135</v>
      </c>
    </row>
    <row r="89" spans="3:17" ht="18.75" x14ac:dyDescent="0.3">
      <c r="C89" s="225"/>
      <c r="D89" s="197" t="s">
        <v>44</v>
      </c>
      <c r="E89" s="99" t="s">
        <v>177</v>
      </c>
      <c r="F89" s="6">
        <v>0</v>
      </c>
      <c r="G89" s="211">
        <v>23000</v>
      </c>
      <c r="H89" s="6">
        <v>0</v>
      </c>
      <c r="I89" s="6">
        <v>0</v>
      </c>
      <c r="J89" s="6"/>
      <c r="K89" s="6">
        <v>0</v>
      </c>
      <c r="L89" s="5"/>
      <c r="Q89" s="110" t="s">
        <v>136</v>
      </c>
    </row>
    <row r="90" spans="3:17" ht="18.75" x14ac:dyDescent="0.3">
      <c r="C90" s="225"/>
      <c r="D90" s="197"/>
      <c r="E90" s="99"/>
      <c r="F90" s="6">
        <v>0</v>
      </c>
      <c r="G90" s="6">
        <v>0</v>
      </c>
      <c r="H90" s="6">
        <v>0</v>
      </c>
      <c r="I90" s="6">
        <v>0</v>
      </c>
      <c r="J90" s="6"/>
      <c r="K90" s="6">
        <v>0</v>
      </c>
      <c r="L90" s="5"/>
      <c r="Q90" s="110" t="s">
        <v>137</v>
      </c>
    </row>
    <row r="91" spans="3:17" ht="18.75" x14ac:dyDescent="0.3">
      <c r="C91" s="225"/>
      <c r="D91" s="197"/>
      <c r="E91" s="99"/>
      <c r="F91" s="6">
        <v>0</v>
      </c>
      <c r="G91" s="6">
        <v>0</v>
      </c>
      <c r="H91" s="6">
        <v>0</v>
      </c>
      <c r="I91" s="6">
        <v>0</v>
      </c>
      <c r="J91" s="6"/>
      <c r="K91" s="6">
        <v>0</v>
      </c>
      <c r="L91" s="5"/>
      <c r="Q91" s="110" t="s">
        <v>138</v>
      </c>
    </row>
    <row r="92" spans="3:17" ht="18.75" x14ac:dyDescent="0.3">
      <c r="C92" s="225"/>
      <c r="D92" s="197"/>
      <c r="E92" s="99"/>
      <c r="F92" s="6">
        <v>0</v>
      </c>
      <c r="G92" s="6">
        <v>0</v>
      </c>
      <c r="H92" s="6">
        <v>0</v>
      </c>
      <c r="I92" s="6">
        <v>0</v>
      </c>
      <c r="J92" s="6"/>
      <c r="K92" s="6">
        <v>0</v>
      </c>
      <c r="L92" s="5"/>
      <c r="Q92" s="110" t="s">
        <v>139</v>
      </c>
    </row>
    <row r="93" spans="3:17" ht="18.75" x14ac:dyDescent="0.3">
      <c r="C93" s="225"/>
      <c r="D93" s="197"/>
      <c r="E93" s="99"/>
      <c r="F93" s="6">
        <v>0</v>
      </c>
      <c r="G93" s="6">
        <v>0</v>
      </c>
      <c r="H93" s="6">
        <v>0</v>
      </c>
      <c r="I93" s="6">
        <v>0</v>
      </c>
      <c r="J93" s="6"/>
      <c r="K93" s="6">
        <v>0</v>
      </c>
      <c r="L93" s="206">
        <f>SUM(F78+F79+F80+F81+F82+F84+G85)</f>
        <v>564343</v>
      </c>
      <c r="Q93" s="110" t="s">
        <v>105</v>
      </c>
    </row>
    <row r="94" spans="3:17" ht="18.75" x14ac:dyDescent="0.3">
      <c r="C94" s="225"/>
      <c r="D94" s="197"/>
      <c r="E94" s="99"/>
      <c r="F94" s="6">
        <v>0</v>
      </c>
      <c r="G94" s="6">
        <v>0</v>
      </c>
      <c r="H94" s="6">
        <v>0</v>
      </c>
      <c r="I94" s="6">
        <v>0</v>
      </c>
      <c r="J94" s="6"/>
      <c r="K94" s="6">
        <v>0</v>
      </c>
      <c r="L94" s="208">
        <f>SUM(I86)</f>
        <v>10000</v>
      </c>
      <c r="Q94" s="110" t="s">
        <v>123</v>
      </c>
    </row>
    <row r="95" spans="3:17" ht="18.75" x14ac:dyDescent="0.3">
      <c r="C95" s="101"/>
      <c r="D95" s="117"/>
      <c r="E95" s="102" t="s">
        <v>27</v>
      </c>
      <c r="F95" s="33">
        <f>SUM(F78:F94)</f>
        <v>874746</v>
      </c>
      <c r="G95" s="33">
        <f>SUM(G79:G94)</f>
        <v>173000</v>
      </c>
      <c r="H95" s="33">
        <f>SUM(H78:H94)</f>
        <v>0</v>
      </c>
      <c r="I95" s="33">
        <f>SUM(I78:I94)</f>
        <v>10000</v>
      </c>
      <c r="J95" s="33">
        <f>SUM(J78:J94)</f>
        <v>0</v>
      </c>
      <c r="K95" s="33">
        <f>SUM(F95:J95)-J95</f>
        <v>1057746</v>
      </c>
      <c r="L95" s="16"/>
      <c r="Q95" s="110" t="s">
        <v>140</v>
      </c>
    </row>
    <row r="96" spans="3:17" ht="18.75" x14ac:dyDescent="0.3">
      <c r="C96" s="224">
        <v>6</v>
      </c>
      <c r="D96" s="197" t="s">
        <v>23</v>
      </c>
      <c r="E96" s="15" t="s">
        <v>169</v>
      </c>
      <c r="F96" s="203">
        <v>47000</v>
      </c>
      <c r="G96" s="6">
        <v>0</v>
      </c>
      <c r="H96" s="6">
        <v>0</v>
      </c>
      <c r="I96" s="6">
        <v>0</v>
      </c>
      <c r="J96" s="6"/>
      <c r="K96" s="6">
        <v>0</v>
      </c>
      <c r="L96" s="5"/>
      <c r="Q96" s="110" t="s">
        <v>148</v>
      </c>
    </row>
    <row r="97" spans="3:17" ht="18.75" x14ac:dyDescent="0.3">
      <c r="C97" s="225"/>
      <c r="D97" s="197" t="s">
        <v>145</v>
      </c>
      <c r="E97" s="99" t="s">
        <v>171</v>
      </c>
      <c r="F97" s="6">
        <v>0</v>
      </c>
      <c r="G97" s="203">
        <v>50000</v>
      </c>
      <c r="H97" s="6">
        <v>0</v>
      </c>
      <c r="I97" s="6">
        <v>0</v>
      </c>
      <c r="J97" s="6"/>
      <c r="K97" s="6">
        <v>0</v>
      </c>
      <c r="L97" s="5"/>
      <c r="Q97" s="110" t="s">
        <v>149</v>
      </c>
    </row>
    <row r="98" spans="3:17" ht="18.75" x14ac:dyDescent="0.3">
      <c r="C98" s="225"/>
      <c r="D98" s="197" t="s">
        <v>127</v>
      </c>
      <c r="E98" s="15" t="s">
        <v>169</v>
      </c>
      <c r="F98" s="207">
        <v>86000</v>
      </c>
      <c r="G98" s="6">
        <v>0</v>
      </c>
      <c r="H98" s="6">
        <v>0</v>
      </c>
      <c r="I98" s="6">
        <v>0</v>
      </c>
      <c r="J98" s="6"/>
      <c r="K98" s="6">
        <v>0</v>
      </c>
      <c r="L98" s="5"/>
      <c r="Q98" s="110" t="s">
        <v>154</v>
      </c>
    </row>
    <row r="99" spans="3:17" ht="18.75" x14ac:dyDescent="0.3">
      <c r="C99" s="225"/>
      <c r="D99" s="197" t="s">
        <v>19</v>
      </c>
      <c r="E99" s="15" t="s">
        <v>169</v>
      </c>
      <c r="F99" s="207">
        <v>48132</v>
      </c>
      <c r="G99" s="6">
        <v>0</v>
      </c>
      <c r="H99" s="6">
        <v>0</v>
      </c>
      <c r="I99" s="6">
        <v>0</v>
      </c>
      <c r="J99" s="6"/>
      <c r="K99" s="6">
        <v>0</v>
      </c>
      <c r="L99" s="5"/>
      <c r="Q99" s="110"/>
    </row>
    <row r="100" spans="3:17" ht="18.75" x14ac:dyDescent="0.3">
      <c r="C100" s="225"/>
      <c r="D100" s="197" t="s">
        <v>142</v>
      </c>
      <c r="E100" s="15" t="s">
        <v>169</v>
      </c>
      <c r="F100" s="204">
        <v>56500</v>
      </c>
      <c r="G100" s="6">
        <v>0</v>
      </c>
      <c r="H100" s="6">
        <v>0</v>
      </c>
      <c r="I100" s="6">
        <v>0</v>
      </c>
      <c r="J100" s="6"/>
      <c r="K100" s="6">
        <v>0</v>
      </c>
      <c r="L100" s="5"/>
      <c r="Q100" s="110"/>
    </row>
    <row r="101" spans="3:17" ht="18.75" x14ac:dyDescent="0.3">
      <c r="C101" s="225"/>
      <c r="D101" s="197" t="s">
        <v>37</v>
      </c>
      <c r="E101" s="15" t="s">
        <v>173</v>
      </c>
      <c r="F101" s="6">
        <v>0</v>
      </c>
      <c r="G101" s="207">
        <v>50000</v>
      </c>
      <c r="H101" s="6">
        <v>0</v>
      </c>
      <c r="I101" s="6">
        <v>0</v>
      </c>
      <c r="J101" s="6"/>
      <c r="K101" s="6">
        <v>0</v>
      </c>
      <c r="L101" s="5"/>
      <c r="Q101" s="110" t="s">
        <v>124</v>
      </c>
    </row>
    <row r="102" spans="3:17" ht="18.75" x14ac:dyDescent="0.3">
      <c r="C102" s="225"/>
      <c r="D102" s="197" t="s">
        <v>44</v>
      </c>
      <c r="E102" s="15" t="s">
        <v>173</v>
      </c>
      <c r="F102" s="6">
        <v>0</v>
      </c>
      <c r="G102" s="207">
        <v>50000</v>
      </c>
      <c r="H102" s="6">
        <v>0</v>
      </c>
      <c r="I102" s="6">
        <v>0</v>
      </c>
      <c r="J102" s="6"/>
      <c r="K102" s="6">
        <v>0</v>
      </c>
      <c r="L102" s="5"/>
      <c r="Q102" s="110" t="s">
        <v>142</v>
      </c>
    </row>
    <row r="103" spans="3:17" ht="18.75" x14ac:dyDescent="0.3">
      <c r="C103" s="225"/>
      <c r="D103" s="197" t="s">
        <v>46</v>
      </c>
      <c r="E103" s="99" t="s">
        <v>172</v>
      </c>
      <c r="F103" s="6">
        <v>0</v>
      </c>
      <c r="G103" s="6">
        <v>0</v>
      </c>
      <c r="H103" s="6">
        <v>0</v>
      </c>
      <c r="I103" s="207">
        <v>6000</v>
      </c>
      <c r="J103" s="6"/>
      <c r="K103" s="6">
        <v>0</v>
      </c>
      <c r="L103" s="5"/>
      <c r="Q103" s="111" t="s">
        <v>45</v>
      </c>
    </row>
    <row r="104" spans="3:17" ht="18.75" x14ac:dyDescent="0.3">
      <c r="C104" s="225"/>
      <c r="D104" s="197"/>
      <c r="E104" s="99"/>
      <c r="F104" s="6">
        <v>0</v>
      </c>
      <c r="G104" s="6">
        <v>0</v>
      </c>
      <c r="H104" s="6">
        <v>0</v>
      </c>
      <c r="I104" s="6">
        <v>0</v>
      </c>
      <c r="J104" s="6"/>
      <c r="K104" s="6">
        <v>0</v>
      </c>
      <c r="L104" s="5"/>
      <c r="Q104" s="111" t="s">
        <v>126</v>
      </c>
    </row>
    <row r="105" spans="3:17" ht="18.75" x14ac:dyDescent="0.3">
      <c r="C105" s="225"/>
      <c r="D105" s="197"/>
      <c r="E105" s="99"/>
      <c r="F105" s="6">
        <v>0</v>
      </c>
      <c r="G105" s="6">
        <v>0</v>
      </c>
      <c r="H105" s="6">
        <v>0</v>
      </c>
      <c r="I105" s="6">
        <v>0</v>
      </c>
      <c r="J105" s="6"/>
      <c r="K105" s="6">
        <v>0</v>
      </c>
      <c r="L105" s="5"/>
      <c r="Q105" s="110" t="s">
        <v>46</v>
      </c>
    </row>
    <row r="106" spans="3:17" ht="18.75" x14ac:dyDescent="0.3">
      <c r="C106" s="225"/>
      <c r="D106" s="197"/>
      <c r="E106" s="99"/>
      <c r="F106" s="6">
        <v>0</v>
      </c>
      <c r="G106" s="6">
        <v>0</v>
      </c>
      <c r="H106" s="6">
        <v>0</v>
      </c>
      <c r="I106" s="6">
        <v>0</v>
      </c>
      <c r="J106" s="6"/>
      <c r="K106" s="6">
        <v>0</v>
      </c>
      <c r="L106" s="5"/>
      <c r="Q106" s="110" t="s">
        <v>127</v>
      </c>
    </row>
    <row r="107" spans="3:17" ht="18.75" x14ac:dyDescent="0.3">
      <c r="C107" s="225"/>
      <c r="D107" s="197"/>
      <c r="E107" s="99"/>
      <c r="F107" s="6">
        <v>0</v>
      </c>
      <c r="G107" s="6">
        <v>0</v>
      </c>
      <c r="H107" s="6">
        <v>0</v>
      </c>
      <c r="I107" s="6">
        <v>0</v>
      </c>
      <c r="J107" s="6"/>
      <c r="K107" s="6">
        <v>0</v>
      </c>
      <c r="L107" s="5"/>
      <c r="Q107" s="110" t="s">
        <v>125</v>
      </c>
    </row>
    <row r="108" spans="3:17" ht="18.75" x14ac:dyDescent="0.3">
      <c r="C108" s="225"/>
      <c r="D108" s="197"/>
      <c r="E108" s="99"/>
      <c r="F108" s="6">
        <v>0</v>
      </c>
      <c r="G108" s="6">
        <v>0</v>
      </c>
      <c r="H108" s="6">
        <v>0</v>
      </c>
      <c r="I108" s="6">
        <v>0</v>
      </c>
      <c r="J108" s="6"/>
      <c r="K108" s="6">
        <v>0</v>
      </c>
      <c r="L108" s="5"/>
      <c r="Q108" s="110" t="s">
        <v>45</v>
      </c>
    </row>
    <row r="109" spans="3:17" ht="18.75" x14ac:dyDescent="0.3">
      <c r="C109" s="225"/>
      <c r="D109" s="197"/>
      <c r="E109" s="99"/>
      <c r="F109" s="6">
        <v>0</v>
      </c>
      <c r="G109" s="6">
        <v>0</v>
      </c>
      <c r="H109" s="6">
        <v>0</v>
      </c>
      <c r="I109" s="6">
        <v>0</v>
      </c>
      <c r="J109" s="6"/>
      <c r="K109" s="6">
        <v>0</v>
      </c>
      <c r="L109" s="5"/>
      <c r="Q109" s="110" t="s">
        <v>128</v>
      </c>
    </row>
    <row r="110" spans="3:17" ht="18.75" x14ac:dyDescent="0.3">
      <c r="C110" s="225"/>
      <c r="D110" s="197"/>
      <c r="E110" s="99"/>
      <c r="F110" s="6">
        <v>0</v>
      </c>
      <c r="G110" s="6">
        <v>0</v>
      </c>
      <c r="H110" s="6">
        <v>0</v>
      </c>
      <c r="I110" s="6">
        <v>0</v>
      </c>
      <c r="J110" s="6"/>
      <c r="K110" s="6">
        <v>0</v>
      </c>
      <c r="L110" s="206">
        <f>SUM(F96+G97)</f>
        <v>97000</v>
      </c>
      <c r="Q110" s="110" t="s">
        <v>143</v>
      </c>
    </row>
    <row r="111" spans="3:17" ht="18.75" x14ac:dyDescent="0.3">
      <c r="C111" s="225"/>
      <c r="D111" s="197"/>
      <c r="E111" s="99"/>
      <c r="F111" s="6">
        <v>0</v>
      </c>
      <c r="G111" s="6">
        <v>0</v>
      </c>
      <c r="H111" s="6">
        <v>0</v>
      </c>
      <c r="I111" s="6">
        <v>0</v>
      </c>
      <c r="J111" s="6"/>
      <c r="K111" s="6">
        <v>0</v>
      </c>
      <c r="L111" s="208">
        <f>SUM(F98:F99)+G101+G102+I103</f>
        <v>240132</v>
      </c>
      <c r="Q111" s="110" t="s">
        <v>147</v>
      </c>
    </row>
    <row r="112" spans="3:17" ht="18.75" x14ac:dyDescent="0.3">
      <c r="C112" s="225"/>
      <c r="D112" s="197"/>
      <c r="E112" s="99"/>
      <c r="F112" s="6">
        <v>0</v>
      </c>
      <c r="G112" s="6">
        <v>0</v>
      </c>
      <c r="H112" s="6">
        <v>0</v>
      </c>
      <c r="I112" s="6">
        <v>0</v>
      </c>
      <c r="J112" s="6"/>
      <c r="K112" s="6">
        <v>0</v>
      </c>
      <c r="L112" s="108">
        <f>L110+L111</f>
        <v>337132</v>
      </c>
      <c r="Q112" s="110" t="s">
        <v>129</v>
      </c>
    </row>
    <row r="113" spans="3:17" ht="18.75" x14ac:dyDescent="0.3">
      <c r="C113" s="101"/>
      <c r="D113" s="117"/>
      <c r="E113" s="102" t="s">
        <v>27</v>
      </c>
      <c r="F113" s="33">
        <f>SUM(F96:F112)</f>
        <v>237632</v>
      </c>
      <c r="G113" s="33">
        <f>SUM(G97:G112)</f>
        <v>150000</v>
      </c>
      <c r="H113" s="33">
        <f>SUM(H96:H112)</f>
        <v>0</v>
      </c>
      <c r="I113" s="33">
        <f>SUM(I96:I112)</f>
        <v>6000</v>
      </c>
      <c r="J113" s="33">
        <f>SUM(J96:J112)</f>
        <v>0</v>
      </c>
      <c r="K113" s="33">
        <f>SUM(F113:J113)-J113</f>
        <v>393632</v>
      </c>
      <c r="L113" s="16"/>
      <c r="Q113" s="110" t="s">
        <v>130</v>
      </c>
    </row>
    <row r="114" spans="3:17" ht="18.75" x14ac:dyDescent="0.3">
      <c r="C114" s="224">
        <v>7</v>
      </c>
      <c r="D114" s="197" t="s">
        <v>34</v>
      </c>
      <c r="E114" s="15" t="s">
        <v>169</v>
      </c>
      <c r="F114" s="200">
        <v>10000</v>
      </c>
      <c r="G114" s="6">
        <v>0</v>
      </c>
      <c r="H114" s="6">
        <v>0</v>
      </c>
      <c r="I114" s="6">
        <v>0</v>
      </c>
      <c r="J114" s="6"/>
      <c r="K114" s="6">
        <v>0</v>
      </c>
      <c r="L114" s="5"/>
      <c r="Q114" s="110" t="s">
        <v>131</v>
      </c>
    </row>
    <row r="115" spans="3:17" ht="18.75" x14ac:dyDescent="0.3">
      <c r="C115" s="225"/>
      <c r="D115" s="99" t="s">
        <v>39</v>
      </c>
      <c r="E115" s="99" t="s">
        <v>169</v>
      </c>
      <c r="F115" s="200">
        <v>2400</v>
      </c>
      <c r="G115" s="6">
        <v>0</v>
      </c>
      <c r="H115" s="6">
        <v>0</v>
      </c>
      <c r="I115" s="6">
        <v>0</v>
      </c>
      <c r="J115" s="6"/>
      <c r="K115" s="6">
        <v>0</v>
      </c>
      <c r="L115" s="5"/>
      <c r="Q115" s="110" t="s">
        <v>132</v>
      </c>
    </row>
    <row r="116" spans="3:17" ht="18.75" x14ac:dyDescent="0.3">
      <c r="C116" s="225"/>
      <c r="D116" s="197" t="s">
        <v>127</v>
      </c>
      <c r="E116" s="99" t="s">
        <v>169</v>
      </c>
      <c r="F116" s="200">
        <v>178600</v>
      </c>
      <c r="G116" s="6">
        <v>0</v>
      </c>
      <c r="H116" s="6">
        <v>0</v>
      </c>
      <c r="I116" s="6">
        <v>0</v>
      </c>
      <c r="J116" s="6"/>
      <c r="K116" s="6">
        <v>0</v>
      </c>
      <c r="L116" s="5"/>
      <c r="P116" s="137"/>
      <c r="Q116" s="110" t="s">
        <v>127</v>
      </c>
    </row>
    <row r="117" spans="3:17" ht="18.75" x14ac:dyDescent="0.3">
      <c r="C117" s="225"/>
      <c r="D117" s="197" t="s">
        <v>37</v>
      </c>
      <c r="E117" s="99" t="s">
        <v>171</v>
      </c>
      <c r="F117" s="6">
        <v>0</v>
      </c>
      <c r="G117" s="200">
        <v>75000</v>
      </c>
      <c r="H117" s="6">
        <v>0</v>
      </c>
      <c r="I117" s="6">
        <v>0</v>
      </c>
      <c r="J117" s="6"/>
      <c r="K117" s="6">
        <v>0</v>
      </c>
      <c r="L117" s="5"/>
      <c r="Q117" s="110" t="s">
        <v>124</v>
      </c>
    </row>
    <row r="118" spans="3:17" ht="18.75" x14ac:dyDescent="0.3">
      <c r="C118" s="225"/>
      <c r="D118" s="197" t="s">
        <v>37</v>
      </c>
      <c r="E118" s="99" t="s">
        <v>177</v>
      </c>
      <c r="F118" s="6">
        <v>0</v>
      </c>
      <c r="G118" s="212">
        <v>26000</v>
      </c>
      <c r="H118" s="6">
        <v>0</v>
      </c>
      <c r="I118" s="6">
        <v>0</v>
      </c>
      <c r="J118" s="6"/>
      <c r="K118" s="6">
        <v>0</v>
      </c>
      <c r="L118" s="5"/>
      <c r="Q118" s="110" t="s">
        <v>144</v>
      </c>
    </row>
    <row r="119" spans="3:17" ht="18.75" x14ac:dyDescent="0.3">
      <c r="C119" s="225"/>
      <c r="D119" s="197" t="s">
        <v>40</v>
      </c>
      <c r="E119" s="99" t="s">
        <v>169</v>
      </c>
      <c r="F119" s="200">
        <v>28620</v>
      </c>
      <c r="G119" s="6">
        <v>0</v>
      </c>
      <c r="H119" s="6">
        <v>0</v>
      </c>
      <c r="I119" s="6">
        <v>0</v>
      </c>
      <c r="J119" s="6"/>
      <c r="K119" s="6">
        <v>0</v>
      </c>
      <c r="L119" s="5"/>
      <c r="Q119" s="110" t="s">
        <v>133</v>
      </c>
    </row>
    <row r="120" spans="3:17" ht="18.75" x14ac:dyDescent="0.3">
      <c r="C120" s="225"/>
      <c r="D120" s="197" t="s">
        <v>19</v>
      </c>
      <c r="E120" s="99" t="s">
        <v>169</v>
      </c>
      <c r="F120" s="201">
        <v>17699</v>
      </c>
      <c r="G120" s="6">
        <v>0</v>
      </c>
      <c r="H120" s="6">
        <v>0</v>
      </c>
      <c r="I120" s="6">
        <v>0</v>
      </c>
      <c r="J120" s="6"/>
      <c r="K120" s="6">
        <v>0</v>
      </c>
      <c r="L120" s="5"/>
      <c r="Q120" s="110" t="s">
        <v>134</v>
      </c>
    </row>
    <row r="121" spans="3:17" ht="18.75" x14ac:dyDescent="0.3">
      <c r="C121" s="225"/>
      <c r="D121" s="197" t="s">
        <v>106</v>
      </c>
      <c r="E121" s="99" t="s">
        <v>169</v>
      </c>
      <c r="F121" s="201">
        <v>19850</v>
      </c>
      <c r="G121" s="6">
        <v>0</v>
      </c>
      <c r="H121" s="6">
        <v>0</v>
      </c>
      <c r="I121" s="6">
        <v>0</v>
      </c>
      <c r="J121" s="6"/>
      <c r="K121" s="6">
        <v>0</v>
      </c>
      <c r="L121" s="5"/>
      <c r="Q121" s="110" t="s">
        <v>135</v>
      </c>
    </row>
    <row r="122" spans="3:17" ht="18.75" x14ac:dyDescent="0.3">
      <c r="C122" s="225"/>
      <c r="D122" s="197" t="s">
        <v>15</v>
      </c>
      <c r="E122" s="99" t="s">
        <v>169</v>
      </c>
      <c r="F122" s="201">
        <v>52500</v>
      </c>
      <c r="G122" s="6">
        <v>0</v>
      </c>
      <c r="H122" s="6">
        <v>0</v>
      </c>
      <c r="I122" s="6">
        <v>0</v>
      </c>
      <c r="J122" s="6"/>
      <c r="K122" s="6">
        <v>0</v>
      </c>
      <c r="L122" s="5"/>
      <c r="Q122" s="110" t="s">
        <v>136</v>
      </c>
    </row>
    <row r="123" spans="3:17" ht="18.75" x14ac:dyDescent="0.3">
      <c r="C123" s="225"/>
      <c r="D123" s="197" t="s">
        <v>44</v>
      </c>
      <c r="E123" s="15" t="s">
        <v>173</v>
      </c>
      <c r="F123" s="6">
        <v>0</v>
      </c>
      <c r="G123" s="201">
        <v>65000</v>
      </c>
      <c r="H123" s="6">
        <v>0</v>
      </c>
      <c r="I123" s="6">
        <v>0</v>
      </c>
      <c r="J123" s="6"/>
      <c r="K123" s="6">
        <v>0</v>
      </c>
      <c r="L123" s="5"/>
      <c r="Q123" s="110" t="s">
        <v>137</v>
      </c>
    </row>
    <row r="124" spans="3:17" ht="18.75" x14ac:dyDescent="0.3">
      <c r="C124" s="225"/>
      <c r="D124" s="197" t="s">
        <v>145</v>
      </c>
      <c r="E124" s="15" t="s">
        <v>173</v>
      </c>
      <c r="F124" s="6">
        <v>0</v>
      </c>
      <c r="G124" s="204">
        <v>65000</v>
      </c>
      <c r="H124" s="6">
        <v>0</v>
      </c>
      <c r="I124" s="6">
        <v>0</v>
      </c>
      <c r="J124" s="6"/>
      <c r="K124" s="6">
        <v>0</v>
      </c>
      <c r="L124" s="5"/>
      <c r="Q124" s="110" t="s">
        <v>138</v>
      </c>
    </row>
    <row r="125" spans="3:17" ht="18.75" x14ac:dyDescent="0.3">
      <c r="C125" s="225"/>
      <c r="D125" s="197"/>
      <c r="E125" s="99"/>
      <c r="F125" s="6">
        <v>0</v>
      </c>
      <c r="G125" s="6">
        <v>0</v>
      </c>
      <c r="H125" s="6">
        <v>0</v>
      </c>
      <c r="I125" s="6">
        <v>0</v>
      </c>
      <c r="J125" s="6"/>
      <c r="K125" s="6">
        <v>0</v>
      </c>
      <c r="L125" s="5"/>
      <c r="Q125" s="110" t="s">
        <v>139</v>
      </c>
    </row>
    <row r="126" spans="3:17" ht="18.75" x14ac:dyDescent="0.3">
      <c r="C126" s="225"/>
      <c r="D126" s="197"/>
      <c r="E126" s="99"/>
      <c r="F126" s="6">
        <v>0</v>
      </c>
      <c r="G126" s="6">
        <v>0</v>
      </c>
      <c r="H126" s="6">
        <v>0</v>
      </c>
      <c r="I126" s="6">
        <v>0</v>
      </c>
      <c r="J126" s="6"/>
      <c r="K126" s="6">
        <v>0</v>
      </c>
      <c r="L126" s="5"/>
      <c r="Q126" s="110" t="s">
        <v>105</v>
      </c>
    </row>
    <row r="127" spans="3:17" ht="18.75" x14ac:dyDescent="0.3">
      <c r="C127" s="225"/>
      <c r="D127" s="197"/>
      <c r="E127" s="99"/>
      <c r="F127" s="6">
        <v>0</v>
      </c>
      <c r="G127" s="6">
        <v>0</v>
      </c>
      <c r="H127" s="6">
        <v>0</v>
      </c>
      <c r="I127" s="6">
        <v>0</v>
      </c>
      <c r="J127" s="6"/>
      <c r="K127" s="6">
        <v>0</v>
      </c>
      <c r="L127" s="198">
        <f>SUM(F114)+F115+F116+G117+F119</f>
        <v>294620</v>
      </c>
      <c r="Q127" s="110" t="s">
        <v>123</v>
      </c>
    </row>
    <row r="128" spans="3:17" ht="18.75" x14ac:dyDescent="0.3">
      <c r="C128" s="225"/>
      <c r="D128" s="197"/>
      <c r="E128" s="99"/>
      <c r="F128" s="6">
        <v>0</v>
      </c>
      <c r="G128" s="6">
        <v>0</v>
      </c>
      <c r="H128" s="6">
        <v>0</v>
      </c>
      <c r="I128" s="6">
        <v>0</v>
      </c>
      <c r="J128" s="6"/>
      <c r="K128" s="6">
        <v>0</v>
      </c>
      <c r="L128" s="202">
        <f>SUM(F120+F121+F122+G123)</f>
        <v>155049</v>
      </c>
      <c r="Q128" s="110" t="s">
        <v>140</v>
      </c>
    </row>
    <row r="129" spans="3:17" ht="18.75" x14ac:dyDescent="0.3">
      <c r="C129" s="225"/>
      <c r="D129" s="197"/>
      <c r="E129" s="99"/>
      <c r="F129" s="6">
        <v>0</v>
      </c>
      <c r="G129" s="6">
        <v>0</v>
      </c>
      <c r="H129" s="6">
        <v>0</v>
      </c>
      <c r="I129" s="6">
        <v>0</v>
      </c>
      <c r="J129" s="6"/>
      <c r="K129" s="6">
        <v>0</v>
      </c>
      <c r="L129" s="213">
        <f>SUM(G124)</f>
        <v>65000</v>
      </c>
      <c r="Q129" s="110" t="s">
        <v>148</v>
      </c>
    </row>
    <row r="130" spans="3:17" ht="18.75" x14ac:dyDescent="0.3">
      <c r="C130" s="101"/>
      <c r="D130" s="117"/>
      <c r="E130" s="102" t="s">
        <v>27</v>
      </c>
      <c r="F130" s="33">
        <f>SUM(F114:F129)</f>
        <v>309669</v>
      </c>
      <c r="G130" s="33">
        <f>SUM(G117:G129)</f>
        <v>231000</v>
      </c>
      <c r="H130" s="33">
        <f>SUM(H114:H129)</f>
        <v>0</v>
      </c>
      <c r="I130" s="33">
        <f>SUM(I114:I129)</f>
        <v>0</v>
      </c>
      <c r="J130" s="33">
        <f>SUM(J114:J129)</f>
        <v>0</v>
      </c>
      <c r="K130" s="33">
        <f>SUM(F130:J130)-J130</f>
        <v>540669</v>
      </c>
      <c r="L130" s="16"/>
      <c r="Q130" s="110" t="s">
        <v>149</v>
      </c>
    </row>
    <row r="131" spans="3:17" ht="18.75" x14ac:dyDescent="0.3">
      <c r="C131" s="224">
        <v>8</v>
      </c>
      <c r="D131" s="197" t="s">
        <v>34</v>
      </c>
      <c r="E131" s="15" t="s">
        <v>169</v>
      </c>
      <c r="F131" s="200">
        <v>10000</v>
      </c>
      <c r="G131" s="6">
        <v>0</v>
      </c>
      <c r="H131" s="6">
        <v>0</v>
      </c>
      <c r="I131" s="6">
        <v>0</v>
      </c>
      <c r="J131" s="6"/>
      <c r="K131" s="6">
        <v>0</v>
      </c>
      <c r="L131" s="5"/>
      <c r="Q131" s="110"/>
    </row>
    <row r="132" spans="3:17" ht="18.75" x14ac:dyDescent="0.3">
      <c r="C132" s="225"/>
      <c r="D132" s="197" t="s">
        <v>127</v>
      </c>
      <c r="E132" s="99" t="s">
        <v>169</v>
      </c>
      <c r="F132" s="200">
        <v>36500</v>
      </c>
      <c r="G132" s="6">
        <v>0</v>
      </c>
      <c r="H132" s="6">
        <v>0</v>
      </c>
      <c r="I132" s="6">
        <v>0</v>
      </c>
      <c r="J132" s="6"/>
      <c r="K132" s="6">
        <v>0</v>
      </c>
      <c r="L132" s="5"/>
      <c r="Q132" s="110"/>
    </row>
    <row r="133" spans="3:17" ht="18.75" x14ac:dyDescent="0.3">
      <c r="C133" s="225"/>
      <c r="D133" s="197" t="s">
        <v>40</v>
      </c>
      <c r="E133" s="99" t="s">
        <v>169</v>
      </c>
      <c r="F133" s="200">
        <v>10440</v>
      </c>
      <c r="G133" s="6">
        <v>0</v>
      </c>
      <c r="H133" s="6">
        <v>0</v>
      </c>
      <c r="I133" s="6">
        <v>0</v>
      </c>
      <c r="J133" s="6"/>
      <c r="K133" s="6">
        <v>0</v>
      </c>
      <c r="L133" s="5"/>
      <c r="Q133" s="110"/>
    </row>
    <row r="134" spans="3:17" x14ac:dyDescent="0.25">
      <c r="C134" s="225"/>
      <c r="D134" s="197" t="s">
        <v>22</v>
      </c>
      <c r="E134" s="99" t="s">
        <v>169</v>
      </c>
      <c r="F134" s="200">
        <v>91200</v>
      </c>
      <c r="G134" s="6">
        <v>0</v>
      </c>
      <c r="H134" s="6">
        <v>0</v>
      </c>
      <c r="I134" s="6">
        <v>0</v>
      </c>
      <c r="J134" s="6"/>
      <c r="K134" s="6">
        <v>0</v>
      </c>
      <c r="L134" s="5"/>
    </row>
    <row r="135" spans="3:17" x14ac:dyDescent="0.25">
      <c r="C135" s="225"/>
      <c r="D135" s="197" t="s">
        <v>139</v>
      </c>
      <c r="E135" s="99" t="s">
        <v>169</v>
      </c>
      <c r="F135" s="200">
        <v>10000</v>
      </c>
      <c r="G135" s="6">
        <v>0</v>
      </c>
      <c r="H135" s="6">
        <v>0</v>
      </c>
      <c r="I135" s="6">
        <v>0</v>
      </c>
      <c r="J135" s="6"/>
      <c r="K135" s="6">
        <v>0</v>
      </c>
      <c r="L135" s="5"/>
    </row>
    <row r="136" spans="3:17" x14ac:dyDescent="0.25">
      <c r="C136" s="225"/>
      <c r="D136" s="197" t="s">
        <v>37</v>
      </c>
      <c r="E136" s="99" t="s">
        <v>171</v>
      </c>
      <c r="F136" s="6">
        <v>0</v>
      </c>
      <c r="G136" s="200">
        <v>55000</v>
      </c>
      <c r="H136" s="6">
        <v>0</v>
      </c>
      <c r="I136" s="6">
        <v>0</v>
      </c>
      <c r="J136" s="6"/>
      <c r="K136" s="6">
        <v>0</v>
      </c>
      <c r="L136" s="5"/>
    </row>
    <row r="137" spans="3:17" x14ac:dyDescent="0.25">
      <c r="C137" s="225"/>
      <c r="D137" s="197" t="s">
        <v>145</v>
      </c>
      <c r="E137" s="99" t="s">
        <v>177</v>
      </c>
      <c r="F137" s="6">
        <v>0</v>
      </c>
      <c r="G137" s="212">
        <v>4000</v>
      </c>
      <c r="H137" s="6">
        <v>0</v>
      </c>
      <c r="I137" s="6">
        <v>0</v>
      </c>
      <c r="J137" s="6"/>
      <c r="K137" s="6">
        <v>0</v>
      </c>
      <c r="L137" s="5"/>
    </row>
    <row r="138" spans="3:17" x14ac:dyDescent="0.25">
      <c r="C138" s="225"/>
      <c r="D138" s="197" t="s">
        <v>44</v>
      </c>
      <c r="E138" s="15" t="s">
        <v>173</v>
      </c>
      <c r="F138" s="6">
        <v>0</v>
      </c>
      <c r="G138" s="201">
        <v>50000</v>
      </c>
      <c r="H138" s="6">
        <v>0</v>
      </c>
      <c r="I138" s="6">
        <v>0</v>
      </c>
      <c r="J138" s="6"/>
      <c r="K138" s="6">
        <v>0</v>
      </c>
      <c r="L138" s="5"/>
    </row>
    <row r="139" spans="3:17" x14ac:dyDescent="0.25">
      <c r="C139" s="225"/>
      <c r="D139" s="197" t="s">
        <v>145</v>
      </c>
      <c r="E139" s="15" t="s">
        <v>173</v>
      </c>
      <c r="F139" s="6">
        <v>0</v>
      </c>
      <c r="G139" s="201">
        <v>50000</v>
      </c>
      <c r="H139" s="6">
        <v>0</v>
      </c>
      <c r="I139" s="6">
        <v>0</v>
      </c>
      <c r="J139" s="6"/>
      <c r="K139" s="6">
        <v>0</v>
      </c>
      <c r="L139" s="5"/>
    </row>
    <row r="140" spans="3:17" x14ac:dyDescent="0.25">
      <c r="C140" s="225"/>
      <c r="D140" s="197"/>
      <c r="E140" s="99"/>
      <c r="F140" s="6">
        <v>0</v>
      </c>
      <c r="G140" s="6">
        <v>0</v>
      </c>
      <c r="H140" s="6">
        <v>0</v>
      </c>
      <c r="I140" s="6">
        <v>0</v>
      </c>
      <c r="J140" s="6"/>
      <c r="K140" s="6">
        <v>0</v>
      </c>
      <c r="L140" s="5"/>
    </row>
    <row r="141" spans="3:17" x14ac:dyDescent="0.25">
      <c r="C141" s="225"/>
      <c r="D141" s="197"/>
      <c r="E141" s="99"/>
      <c r="F141" s="6">
        <v>0</v>
      </c>
      <c r="G141" s="6">
        <v>0</v>
      </c>
      <c r="H141" s="6">
        <v>0</v>
      </c>
      <c r="I141" s="6">
        <v>0</v>
      </c>
      <c r="J141" s="6"/>
      <c r="K141" s="6">
        <v>0</v>
      </c>
      <c r="L141" s="5"/>
    </row>
    <row r="142" spans="3:17" x14ac:dyDescent="0.25">
      <c r="C142" s="225"/>
      <c r="D142" s="197"/>
      <c r="E142" s="99"/>
      <c r="F142" s="6">
        <v>0</v>
      </c>
      <c r="G142" s="6">
        <v>0</v>
      </c>
      <c r="H142" s="6">
        <v>0</v>
      </c>
      <c r="I142" s="6">
        <v>0</v>
      </c>
      <c r="J142" s="6"/>
      <c r="K142" s="6">
        <v>0</v>
      </c>
      <c r="L142" s="5"/>
    </row>
    <row r="143" spans="3:17" x14ac:dyDescent="0.25">
      <c r="C143" s="225"/>
      <c r="D143" s="197"/>
      <c r="E143" s="99"/>
      <c r="F143" s="6">
        <v>0</v>
      </c>
      <c r="G143" s="6">
        <v>0</v>
      </c>
      <c r="H143" s="6">
        <v>0</v>
      </c>
      <c r="I143" s="6">
        <v>0</v>
      </c>
      <c r="J143" s="6"/>
      <c r="K143" s="6">
        <v>0</v>
      </c>
      <c r="L143" s="5"/>
    </row>
    <row r="144" spans="3:17" x14ac:dyDescent="0.25">
      <c r="C144" s="225"/>
      <c r="D144" s="197"/>
      <c r="E144" s="99"/>
      <c r="F144" s="6">
        <v>0</v>
      </c>
      <c r="G144" s="6">
        <v>0</v>
      </c>
      <c r="H144" s="6">
        <v>0</v>
      </c>
      <c r="I144" s="6">
        <v>0</v>
      </c>
      <c r="J144" s="6"/>
      <c r="K144" s="6">
        <v>0</v>
      </c>
      <c r="L144" s="5"/>
    </row>
    <row r="145" spans="3:12" x14ac:dyDescent="0.25">
      <c r="C145" s="225"/>
      <c r="D145" s="197"/>
      <c r="E145" s="99"/>
      <c r="F145" s="6">
        <v>0</v>
      </c>
      <c r="G145" s="6">
        <v>0</v>
      </c>
      <c r="H145" s="6">
        <v>0</v>
      </c>
      <c r="I145" s="6">
        <v>0</v>
      </c>
      <c r="J145" s="6"/>
      <c r="K145" s="6">
        <v>0</v>
      </c>
      <c r="L145" s="198">
        <f>SUM(F131:G136)</f>
        <v>213140</v>
      </c>
    </row>
    <row r="146" spans="3:12" x14ac:dyDescent="0.25">
      <c r="C146" s="225"/>
      <c r="D146" s="197"/>
      <c r="E146" s="99"/>
      <c r="F146" s="6">
        <v>0</v>
      </c>
      <c r="G146" s="6">
        <v>0</v>
      </c>
      <c r="H146" s="6">
        <v>0</v>
      </c>
      <c r="I146" s="6">
        <v>0</v>
      </c>
      <c r="J146" s="6"/>
      <c r="K146" s="6">
        <v>0</v>
      </c>
      <c r="L146" s="202">
        <f>SUM(G138:G139)</f>
        <v>100000</v>
      </c>
    </row>
    <row r="147" spans="3:12" x14ac:dyDescent="0.25">
      <c r="C147" s="225"/>
      <c r="D147" s="197"/>
      <c r="E147" s="99"/>
      <c r="F147" s="6">
        <v>0</v>
      </c>
      <c r="G147" s="6">
        <v>0</v>
      </c>
      <c r="H147" s="6">
        <v>0</v>
      </c>
      <c r="I147" s="6">
        <v>0</v>
      </c>
      <c r="J147" s="6"/>
      <c r="K147" s="6">
        <v>0</v>
      </c>
      <c r="L147" s="5"/>
    </row>
    <row r="148" spans="3:12" x14ac:dyDescent="0.25">
      <c r="C148" s="101"/>
      <c r="D148" s="117"/>
      <c r="E148" s="102" t="s">
        <v>27</v>
      </c>
      <c r="F148" s="33">
        <f>SUM(F131:F147)</f>
        <v>158140</v>
      </c>
      <c r="G148" s="33">
        <f>SUM(G131:G147)</f>
        <v>159000</v>
      </c>
      <c r="H148" s="33">
        <f>SUM(H131:H147)</f>
        <v>0</v>
      </c>
      <c r="I148" s="33">
        <f>SUM(I131:I147)</f>
        <v>0</v>
      </c>
      <c r="J148" s="33">
        <f>SUM(J131:J147)</f>
        <v>0</v>
      </c>
      <c r="K148" s="33">
        <f>SUM(F148:J148)-J148</f>
        <v>317140</v>
      </c>
      <c r="L148" s="16"/>
    </row>
    <row r="149" spans="3:12" x14ac:dyDescent="0.25">
      <c r="C149" s="224">
        <v>9</v>
      </c>
      <c r="D149" s="197" t="s">
        <v>24</v>
      </c>
      <c r="E149" s="99" t="s">
        <v>169</v>
      </c>
      <c r="F149" s="203">
        <v>144161</v>
      </c>
      <c r="G149" s="6">
        <v>0</v>
      </c>
      <c r="H149" s="6">
        <v>0</v>
      </c>
      <c r="I149" s="6">
        <v>0</v>
      </c>
      <c r="J149" s="6"/>
      <c r="K149" s="6">
        <v>0</v>
      </c>
      <c r="L149" s="5"/>
    </row>
    <row r="150" spans="3:12" x14ac:dyDescent="0.25">
      <c r="C150" s="225"/>
      <c r="D150" s="197" t="s">
        <v>119</v>
      </c>
      <c r="E150" s="99" t="s">
        <v>169</v>
      </c>
      <c r="F150" s="203">
        <v>49743</v>
      </c>
      <c r="G150" s="6">
        <v>0</v>
      </c>
      <c r="H150" s="6">
        <v>0</v>
      </c>
      <c r="I150" s="6">
        <v>0</v>
      </c>
      <c r="J150" s="6"/>
      <c r="K150" s="6">
        <v>0</v>
      </c>
      <c r="L150" s="5"/>
    </row>
    <row r="151" spans="3:12" x14ac:dyDescent="0.25">
      <c r="C151" s="225"/>
      <c r="D151" s="197" t="s">
        <v>119</v>
      </c>
      <c r="E151" s="99" t="s">
        <v>169</v>
      </c>
      <c r="F151" s="203">
        <v>34330</v>
      </c>
      <c r="G151" s="6">
        <v>0</v>
      </c>
      <c r="H151" s="6">
        <v>0</v>
      </c>
      <c r="I151" s="6">
        <v>0</v>
      </c>
      <c r="J151" s="6"/>
      <c r="K151" s="6">
        <v>0</v>
      </c>
      <c r="L151" s="5"/>
    </row>
    <row r="152" spans="3:12" x14ac:dyDescent="0.25">
      <c r="C152" s="225"/>
      <c r="D152" s="197" t="s">
        <v>145</v>
      </c>
      <c r="E152" s="99" t="s">
        <v>171</v>
      </c>
      <c r="F152" s="6">
        <v>0</v>
      </c>
      <c r="G152" s="203">
        <v>55000</v>
      </c>
      <c r="H152" s="6">
        <v>0</v>
      </c>
      <c r="I152" s="6">
        <v>0</v>
      </c>
      <c r="J152" s="6"/>
      <c r="K152" s="6">
        <v>0</v>
      </c>
      <c r="L152" s="5"/>
    </row>
    <row r="153" spans="3:12" x14ac:dyDescent="0.25">
      <c r="C153" s="225"/>
      <c r="D153" s="197" t="s">
        <v>127</v>
      </c>
      <c r="E153" s="99" t="s">
        <v>169</v>
      </c>
      <c r="F153" s="207">
        <v>176500</v>
      </c>
      <c r="G153" s="6"/>
      <c r="H153" s="6">
        <v>0</v>
      </c>
      <c r="I153" s="6">
        <v>0</v>
      </c>
      <c r="J153" s="6"/>
      <c r="K153" s="6">
        <v>0</v>
      </c>
      <c r="L153" s="5"/>
    </row>
    <row r="154" spans="3:12" x14ac:dyDescent="0.25">
      <c r="C154" s="225"/>
      <c r="D154" s="197" t="s">
        <v>19</v>
      </c>
      <c r="E154" s="99" t="s">
        <v>169</v>
      </c>
      <c r="F154" s="207">
        <v>56460</v>
      </c>
      <c r="G154" s="6">
        <v>0</v>
      </c>
      <c r="H154" s="6">
        <v>0</v>
      </c>
      <c r="I154" s="6">
        <v>0</v>
      </c>
      <c r="J154" s="6"/>
      <c r="K154" s="6">
        <v>0</v>
      </c>
      <c r="L154" s="5"/>
    </row>
    <row r="155" spans="3:12" x14ac:dyDescent="0.25">
      <c r="C155" s="225"/>
      <c r="D155" s="197" t="s">
        <v>40</v>
      </c>
      <c r="E155" s="99" t="s">
        <v>169</v>
      </c>
      <c r="F155" s="207">
        <v>11560</v>
      </c>
      <c r="G155" s="6">
        <v>0</v>
      </c>
      <c r="H155" s="6">
        <v>0</v>
      </c>
      <c r="I155" s="6">
        <v>0</v>
      </c>
      <c r="J155" s="6"/>
      <c r="K155" s="6">
        <v>0</v>
      </c>
      <c r="L155" s="5"/>
    </row>
    <row r="156" spans="3:12" x14ac:dyDescent="0.25">
      <c r="C156" s="225"/>
      <c r="D156" s="197" t="s">
        <v>45</v>
      </c>
      <c r="E156" s="99" t="s">
        <v>172</v>
      </c>
      <c r="F156" s="6">
        <v>0</v>
      </c>
      <c r="G156" s="6">
        <v>0</v>
      </c>
      <c r="H156" s="6">
        <v>0</v>
      </c>
      <c r="I156" s="207">
        <v>8000</v>
      </c>
      <c r="J156" s="6"/>
      <c r="K156" s="6">
        <v>0</v>
      </c>
      <c r="L156" s="5"/>
    </row>
    <row r="157" spans="3:12" x14ac:dyDescent="0.25">
      <c r="C157" s="225"/>
      <c r="D157" s="197" t="s">
        <v>154</v>
      </c>
      <c r="E157" s="99" t="s">
        <v>173</v>
      </c>
      <c r="G157" s="214">
        <v>50000</v>
      </c>
      <c r="H157" s="6">
        <v>0</v>
      </c>
      <c r="I157" s="6">
        <v>0</v>
      </c>
      <c r="J157" s="6"/>
      <c r="K157" s="6">
        <v>0</v>
      </c>
      <c r="L157" s="5"/>
    </row>
    <row r="158" spans="3:12" x14ac:dyDescent="0.25">
      <c r="C158" s="225"/>
      <c r="D158" s="197" t="s">
        <v>44</v>
      </c>
      <c r="E158" s="99" t="s">
        <v>173</v>
      </c>
      <c r="G158" s="214">
        <v>50000</v>
      </c>
      <c r="H158" s="6">
        <v>0</v>
      </c>
      <c r="I158" s="6">
        <v>0</v>
      </c>
      <c r="J158" s="6"/>
      <c r="K158" s="6">
        <v>0</v>
      </c>
      <c r="L158" s="5"/>
    </row>
    <row r="159" spans="3:12" x14ac:dyDescent="0.25">
      <c r="C159" s="225"/>
      <c r="D159" s="197"/>
      <c r="E159" s="99"/>
      <c r="F159" s="6">
        <v>0</v>
      </c>
      <c r="G159" s="6">
        <v>0</v>
      </c>
      <c r="H159" s="6">
        <v>0</v>
      </c>
      <c r="I159" s="6">
        <v>0</v>
      </c>
      <c r="J159" s="6"/>
      <c r="K159" s="6">
        <v>0</v>
      </c>
      <c r="L159" s="5"/>
    </row>
    <row r="160" spans="3:12" x14ac:dyDescent="0.25">
      <c r="C160" s="225"/>
      <c r="D160" s="197"/>
      <c r="E160" s="99"/>
      <c r="F160" s="6">
        <v>0</v>
      </c>
      <c r="G160" s="6">
        <v>0</v>
      </c>
      <c r="H160" s="6">
        <v>0</v>
      </c>
      <c r="I160" s="6">
        <v>0</v>
      </c>
      <c r="J160" s="6"/>
      <c r="K160" s="6">
        <v>0</v>
      </c>
      <c r="L160" s="5"/>
    </row>
    <row r="161" spans="3:12" x14ac:dyDescent="0.25">
      <c r="C161" s="225"/>
      <c r="D161" s="197"/>
      <c r="E161" s="99"/>
      <c r="F161" s="6">
        <v>0</v>
      </c>
      <c r="G161" s="6">
        <v>0</v>
      </c>
      <c r="H161" s="6">
        <v>0</v>
      </c>
      <c r="I161" s="6">
        <v>0</v>
      </c>
      <c r="J161" s="6"/>
      <c r="K161" s="6">
        <v>0</v>
      </c>
      <c r="L161" s="5"/>
    </row>
    <row r="162" spans="3:12" x14ac:dyDescent="0.25">
      <c r="C162" s="225"/>
      <c r="D162" s="197"/>
      <c r="E162" s="99"/>
      <c r="F162" s="6">
        <v>0</v>
      </c>
      <c r="G162" s="6">
        <v>0</v>
      </c>
      <c r="H162" s="6">
        <v>0</v>
      </c>
      <c r="I162" s="6">
        <v>0</v>
      </c>
      <c r="J162" s="6"/>
      <c r="K162" s="6">
        <v>0</v>
      </c>
      <c r="L162" s="5"/>
    </row>
    <row r="163" spans="3:12" x14ac:dyDescent="0.25">
      <c r="C163" s="225"/>
      <c r="D163" s="197"/>
      <c r="E163" s="99"/>
      <c r="F163" s="6">
        <v>0</v>
      </c>
      <c r="G163" s="6">
        <v>0</v>
      </c>
      <c r="H163" s="6">
        <v>0</v>
      </c>
      <c r="I163" s="6">
        <v>0</v>
      </c>
      <c r="J163" s="6"/>
      <c r="K163" s="6">
        <v>0</v>
      </c>
      <c r="L163" s="5"/>
    </row>
    <row r="164" spans="3:12" x14ac:dyDescent="0.25">
      <c r="C164" s="225"/>
      <c r="D164" s="197"/>
      <c r="E164" s="99"/>
      <c r="F164" s="6">
        <v>0</v>
      </c>
      <c r="G164" s="6">
        <v>0</v>
      </c>
      <c r="H164" s="6">
        <v>0</v>
      </c>
      <c r="I164" s="6">
        <v>0</v>
      </c>
      <c r="J164" s="6"/>
      <c r="K164" s="6">
        <v>0</v>
      </c>
      <c r="L164" s="198">
        <f>SUM(F149+F150+F151+G152)</f>
        <v>283234</v>
      </c>
    </row>
    <row r="165" spans="3:12" x14ac:dyDescent="0.25">
      <c r="C165" s="225"/>
      <c r="D165" s="197"/>
      <c r="E165" s="99"/>
      <c r="F165" s="6">
        <v>0</v>
      </c>
      <c r="G165" s="6">
        <v>0</v>
      </c>
      <c r="H165" s="6">
        <v>0</v>
      </c>
      <c r="I165" s="6">
        <v>0</v>
      </c>
      <c r="J165" s="6"/>
      <c r="K165" s="6">
        <v>0</v>
      </c>
      <c r="L165" s="208">
        <f>SUM(F153:F155)+I156</f>
        <v>252520</v>
      </c>
    </row>
    <row r="166" spans="3:12" x14ac:dyDescent="0.25">
      <c r="C166" s="225"/>
      <c r="D166" s="197"/>
      <c r="E166" s="99"/>
      <c r="F166" s="6">
        <v>0</v>
      </c>
      <c r="G166" s="6">
        <v>0</v>
      </c>
      <c r="H166" s="6">
        <v>0</v>
      </c>
      <c r="I166" s="6">
        <v>0</v>
      </c>
      <c r="J166" s="6"/>
      <c r="K166" s="6">
        <v>0</v>
      </c>
      <c r="L166" s="108">
        <f>L164+L165</f>
        <v>535754</v>
      </c>
    </row>
    <row r="167" spans="3:12" x14ac:dyDescent="0.25">
      <c r="C167" s="101"/>
      <c r="D167" s="117"/>
      <c r="E167" s="102" t="s">
        <v>27</v>
      </c>
      <c r="F167" s="33">
        <f>SUM(F149:F166)</f>
        <v>472754</v>
      </c>
      <c r="G167" s="33">
        <f>SUM(G149:G166)</f>
        <v>155000</v>
      </c>
      <c r="H167" s="33">
        <f>SUM(H149:H166)</f>
        <v>0</v>
      </c>
      <c r="I167" s="33">
        <f>SUM(I149:I166)</f>
        <v>8000</v>
      </c>
      <c r="J167" s="33">
        <f>SUM(J149:J166)</f>
        <v>0</v>
      </c>
      <c r="K167" s="33">
        <f>SUM(F167:J167)-J167</f>
        <v>635754</v>
      </c>
      <c r="L167" s="16"/>
    </row>
    <row r="168" spans="3:12" x14ac:dyDescent="0.25">
      <c r="C168" s="224">
        <v>10</v>
      </c>
      <c r="D168" s="197" t="s">
        <v>34</v>
      </c>
      <c r="E168" s="15" t="s">
        <v>169</v>
      </c>
      <c r="F168" s="200">
        <v>10000</v>
      </c>
      <c r="G168" s="6">
        <v>0</v>
      </c>
      <c r="H168" s="6">
        <v>0</v>
      </c>
      <c r="I168" s="6">
        <v>0</v>
      </c>
      <c r="J168" s="6"/>
      <c r="K168" s="6">
        <v>0</v>
      </c>
      <c r="L168" s="5"/>
    </row>
    <row r="169" spans="3:12" x14ac:dyDescent="0.25">
      <c r="C169" s="225"/>
      <c r="D169" s="197" t="s">
        <v>20</v>
      </c>
      <c r="E169" s="15" t="s">
        <v>169</v>
      </c>
      <c r="F169" s="200">
        <v>41324</v>
      </c>
      <c r="G169" s="6">
        <v>0</v>
      </c>
      <c r="H169" s="6">
        <v>0</v>
      </c>
      <c r="I169" s="6">
        <v>0</v>
      </c>
      <c r="J169" s="6"/>
      <c r="K169" s="6">
        <v>0</v>
      </c>
      <c r="L169" s="5"/>
    </row>
    <row r="170" spans="3:12" x14ac:dyDescent="0.25">
      <c r="C170" s="225"/>
      <c r="D170" s="99" t="s">
        <v>185</v>
      </c>
      <c r="E170" s="99" t="s">
        <v>186</v>
      </c>
      <c r="F170" s="6"/>
      <c r="G170" s="6">
        <v>0</v>
      </c>
      <c r="H170" s="6">
        <v>0</v>
      </c>
      <c r="I170" s="200">
        <v>32000</v>
      </c>
      <c r="J170" s="6"/>
      <c r="K170" s="6">
        <v>0</v>
      </c>
      <c r="L170" s="5"/>
    </row>
    <row r="171" spans="3:12" x14ac:dyDescent="0.25">
      <c r="C171" s="225"/>
      <c r="D171" s="99" t="s">
        <v>37</v>
      </c>
      <c r="E171" s="99" t="s">
        <v>171</v>
      </c>
      <c r="F171" s="6">
        <v>0</v>
      </c>
      <c r="G171" s="200">
        <v>55000</v>
      </c>
      <c r="H171" s="6">
        <v>0</v>
      </c>
      <c r="I171" s="6"/>
      <c r="J171" s="6"/>
      <c r="K171" s="6">
        <v>0</v>
      </c>
      <c r="L171" s="5"/>
    </row>
    <row r="172" spans="3:12" x14ac:dyDescent="0.25">
      <c r="C172" s="225"/>
      <c r="D172" s="197" t="s">
        <v>154</v>
      </c>
      <c r="E172" s="99" t="s">
        <v>177</v>
      </c>
      <c r="F172" s="6">
        <v>0</v>
      </c>
      <c r="G172" s="212">
        <v>9000</v>
      </c>
      <c r="H172" s="6">
        <v>0</v>
      </c>
      <c r="I172" s="6">
        <v>0</v>
      </c>
      <c r="J172" s="6"/>
      <c r="K172" s="6">
        <v>0</v>
      </c>
      <c r="L172" s="5"/>
    </row>
    <row r="173" spans="3:12" x14ac:dyDescent="0.25">
      <c r="C173" s="225"/>
      <c r="D173" s="197" t="s">
        <v>18</v>
      </c>
      <c r="E173" s="99" t="s">
        <v>169</v>
      </c>
      <c r="F173" s="207">
        <v>10850</v>
      </c>
      <c r="G173" s="6">
        <v>0</v>
      </c>
      <c r="H173" s="6">
        <v>0</v>
      </c>
      <c r="I173" s="6">
        <v>0</v>
      </c>
      <c r="J173" s="6"/>
      <c r="K173" s="6">
        <v>0</v>
      </c>
      <c r="L173" s="5"/>
    </row>
    <row r="174" spans="3:12" x14ac:dyDescent="0.25">
      <c r="C174" s="225"/>
      <c r="D174" s="197" t="s">
        <v>127</v>
      </c>
      <c r="E174" s="99" t="s">
        <v>169</v>
      </c>
      <c r="F174" s="207">
        <v>55000</v>
      </c>
      <c r="G174" s="6">
        <v>0</v>
      </c>
      <c r="H174" s="6">
        <v>0</v>
      </c>
      <c r="I174" s="6">
        <v>0</v>
      </c>
      <c r="J174" s="6"/>
      <c r="K174" s="6">
        <v>0</v>
      </c>
      <c r="L174" s="5"/>
    </row>
    <row r="175" spans="3:12" x14ac:dyDescent="0.25">
      <c r="C175" s="225"/>
      <c r="D175" s="197" t="s">
        <v>154</v>
      </c>
      <c r="E175" s="99" t="s">
        <v>173</v>
      </c>
      <c r="F175" s="6">
        <v>0</v>
      </c>
      <c r="G175" s="207">
        <v>55000</v>
      </c>
      <c r="H175" s="6">
        <v>0</v>
      </c>
      <c r="I175" s="6">
        <v>0</v>
      </c>
      <c r="J175" s="6"/>
      <c r="K175" s="6">
        <v>0</v>
      </c>
      <c r="L175" s="5"/>
    </row>
    <row r="176" spans="3:12" x14ac:dyDescent="0.25">
      <c r="C176" s="225"/>
      <c r="D176" s="197" t="s">
        <v>44</v>
      </c>
      <c r="E176" s="99" t="s">
        <v>173</v>
      </c>
      <c r="F176" s="6">
        <v>0</v>
      </c>
      <c r="G176" s="207">
        <v>55000</v>
      </c>
      <c r="H176" s="6">
        <v>0</v>
      </c>
      <c r="I176" s="6">
        <v>0</v>
      </c>
      <c r="J176" s="6"/>
      <c r="K176" s="6">
        <v>0</v>
      </c>
      <c r="L176" s="5"/>
    </row>
    <row r="177" spans="3:12" x14ac:dyDescent="0.25">
      <c r="C177" s="225"/>
      <c r="D177" s="197"/>
      <c r="E177" s="99"/>
      <c r="F177" s="6">
        <v>0</v>
      </c>
      <c r="G177" s="6">
        <v>0</v>
      </c>
      <c r="H177" s="6">
        <v>0</v>
      </c>
      <c r="I177" s="6">
        <v>0</v>
      </c>
      <c r="J177" s="6"/>
      <c r="K177" s="6">
        <v>0</v>
      </c>
      <c r="L177" s="5"/>
    </row>
    <row r="178" spans="3:12" x14ac:dyDescent="0.25">
      <c r="C178" s="225"/>
      <c r="D178" s="197"/>
      <c r="E178" s="99"/>
      <c r="F178" s="6">
        <v>0</v>
      </c>
      <c r="G178" s="6">
        <v>0</v>
      </c>
      <c r="H178" s="6">
        <v>0</v>
      </c>
      <c r="I178" s="6">
        <v>0</v>
      </c>
      <c r="J178" s="6"/>
      <c r="K178" s="6">
        <v>0</v>
      </c>
      <c r="L178" s="5"/>
    </row>
    <row r="179" spans="3:12" x14ac:dyDescent="0.25">
      <c r="C179" s="225"/>
      <c r="D179" s="197"/>
      <c r="E179" s="99"/>
      <c r="F179" s="6">
        <v>0</v>
      </c>
      <c r="G179" s="6">
        <v>0</v>
      </c>
      <c r="H179" s="6">
        <v>0</v>
      </c>
      <c r="I179" s="6">
        <v>0</v>
      </c>
      <c r="J179" s="6"/>
      <c r="K179" s="6">
        <v>0</v>
      </c>
      <c r="L179" s="5"/>
    </row>
    <row r="180" spans="3:12" x14ac:dyDescent="0.25">
      <c r="C180" s="225"/>
      <c r="D180" s="197"/>
      <c r="E180" s="99"/>
      <c r="F180" s="6">
        <v>0</v>
      </c>
      <c r="G180" s="6">
        <v>0</v>
      </c>
      <c r="H180" s="6">
        <v>0</v>
      </c>
      <c r="I180" s="6">
        <v>0</v>
      </c>
      <c r="J180" s="6"/>
      <c r="K180" s="6">
        <v>0</v>
      </c>
      <c r="L180" s="198">
        <f>SUM(F168:I171)</f>
        <v>138324</v>
      </c>
    </row>
    <row r="181" spans="3:12" x14ac:dyDescent="0.25">
      <c r="C181" s="225"/>
      <c r="D181" s="197"/>
      <c r="E181" s="99"/>
      <c r="F181" s="6">
        <v>0</v>
      </c>
      <c r="G181" s="6">
        <v>0</v>
      </c>
      <c r="H181" s="6">
        <v>0</v>
      </c>
      <c r="I181" s="6">
        <v>0</v>
      </c>
      <c r="J181" s="6"/>
      <c r="K181" s="6">
        <v>0</v>
      </c>
      <c r="L181" s="208">
        <f>SUM(F173:F174)+G175+G176</f>
        <v>175850</v>
      </c>
    </row>
    <row r="182" spans="3:12" x14ac:dyDescent="0.25">
      <c r="C182" s="225"/>
      <c r="D182" s="197"/>
      <c r="E182" s="99"/>
      <c r="F182" s="6">
        <v>0</v>
      </c>
      <c r="G182" s="6">
        <v>0</v>
      </c>
      <c r="H182" s="6">
        <v>0</v>
      </c>
      <c r="I182" s="6">
        <v>0</v>
      </c>
      <c r="J182" s="6"/>
      <c r="K182" s="6">
        <v>0</v>
      </c>
      <c r="L182" s="108">
        <f>L180+L181</f>
        <v>314174</v>
      </c>
    </row>
    <row r="183" spans="3:12" x14ac:dyDescent="0.25">
      <c r="C183" s="226"/>
      <c r="D183" s="197"/>
      <c r="E183" s="99"/>
      <c r="F183" s="6">
        <v>0</v>
      </c>
      <c r="G183" s="6">
        <v>0</v>
      </c>
      <c r="H183" s="6">
        <v>0</v>
      </c>
      <c r="I183" s="6">
        <v>0</v>
      </c>
      <c r="J183" s="6"/>
      <c r="K183" s="6">
        <v>0</v>
      </c>
      <c r="L183" s="5"/>
    </row>
    <row r="184" spans="3:12" x14ac:dyDescent="0.25">
      <c r="C184" s="101"/>
      <c r="D184" s="117"/>
      <c r="E184" s="102" t="s">
        <v>27</v>
      </c>
      <c r="F184" s="33">
        <f>SUM(F168:F183)</f>
        <v>117174</v>
      </c>
      <c r="G184" s="33">
        <f>SUM(G170:G183)</f>
        <v>174000</v>
      </c>
      <c r="H184" s="33">
        <f>SUM(H168:H183)</f>
        <v>0</v>
      </c>
      <c r="I184" s="33">
        <f>SUM(I168:I183)</f>
        <v>32000</v>
      </c>
      <c r="J184" s="33">
        <f>SUM(J168:J183)</f>
        <v>0</v>
      </c>
      <c r="K184" s="33">
        <f>SUM(F184:J184)-J184</f>
        <v>323174</v>
      </c>
      <c r="L184" s="16"/>
    </row>
    <row r="185" spans="3:12" x14ac:dyDescent="0.25">
      <c r="C185" s="224">
        <v>11</v>
      </c>
      <c r="D185" s="197" t="s">
        <v>127</v>
      </c>
      <c r="E185" s="15" t="s">
        <v>169</v>
      </c>
      <c r="F185" s="203">
        <v>148500</v>
      </c>
      <c r="G185" s="6">
        <v>0</v>
      </c>
      <c r="H185" s="6">
        <v>0</v>
      </c>
      <c r="I185" s="6">
        <v>0</v>
      </c>
      <c r="J185" s="6"/>
      <c r="K185" s="6">
        <v>0</v>
      </c>
      <c r="L185" s="5"/>
    </row>
    <row r="186" spans="3:12" x14ac:dyDescent="0.25">
      <c r="C186" s="225"/>
      <c r="D186" s="197" t="s">
        <v>145</v>
      </c>
      <c r="E186" s="99" t="s">
        <v>171</v>
      </c>
      <c r="F186" s="6">
        <v>0</v>
      </c>
      <c r="G186" s="203">
        <v>50000</v>
      </c>
      <c r="H186" s="6">
        <v>0</v>
      </c>
      <c r="I186" s="6">
        <v>0</v>
      </c>
      <c r="J186" s="6"/>
      <c r="K186" s="6">
        <v>0</v>
      </c>
      <c r="L186" s="5"/>
    </row>
    <row r="187" spans="3:12" x14ac:dyDescent="0.25">
      <c r="C187" s="225"/>
      <c r="D187" s="197" t="s">
        <v>40</v>
      </c>
      <c r="E187" s="15" t="s">
        <v>169</v>
      </c>
      <c r="F187" s="203">
        <v>28280</v>
      </c>
      <c r="G187" s="6">
        <v>0</v>
      </c>
      <c r="H187" s="6">
        <v>0</v>
      </c>
      <c r="I187" s="6">
        <v>0</v>
      </c>
      <c r="J187" s="6"/>
      <c r="K187" s="6">
        <v>0</v>
      </c>
      <c r="L187" s="5"/>
    </row>
    <row r="188" spans="3:12" x14ac:dyDescent="0.25">
      <c r="C188" s="225"/>
      <c r="D188" s="197" t="s">
        <v>19</v>
      </c>
      <c r="E188" s="15" t="s">
        <v>169</v>
      </c>
      <c r="F188" s="207">
        <v>23150</v>
      </c>
      <c r="G188" s="6">
        <v>0</v>
      </c>
      <c r="H188" s="6">
        <v>0</v>
      </c>
      <c r="I188" s="6">
        <v>0</v>
      </c>
      <c r="J188" s="6"/>
      <c r="K188" s="6">
        <v>0</v>
      </c>
      <c r="L188" s="5"/>
    </row>
    <row r="189" spans="3:12" x14ac:dyDescent="0.25">
      <c r="C189" s="225"/>
      <c r="D189" s="197" t="s">
        <v>37</v>
      </c>
      <c r="E189" s="99" t="s">
        <v>173</v>
      </c>
      <c r="F189" s="6">
        <v>0</v>
      </c>
      <c r="G189" s="207">
        <v>50000</v>
      </c>
      <c r="H189" s="6">
        <v>0</v>
      </c>
      <c r="I189" s="6">
        <v>0</v>
      </c>
      <c r="J189" s="6"/>
      <c r="K189" s="6">
        <v>0</v>
      </c>
      <c r="L189" s="5"/>
    </row>
    <row r="190" spans="3:12" x14ac:dyDescent="0.25">
      <c r="C190" s="225"/>
      <c r="D190" s="197" t="s">
        <v>44</v>
      </c>
      <c r="E190" s="99" t="s">
        <v>173</v>
      </c>
      <c r="F190" s="6">
        <v>0</v>
      </c>
      <c r="G190" s="207">
        <v>50000</v>
      </c>
      <c r="H190" s="6">
        <v>0</v>
      </c>
      <c r="I190" s="6">
        <v>0</v>
      </c>
      <c r="J190" s="6"/>
      <c r="K190" s="6">
        <v>0</v>
      </c>
      <c r="L190" s="5"/>
    </row>
    <row r="191" spans="3:12" x14ac:dyDescent="0.25">
      <c r="C191" s="225"/>
      <c r="D191" s="197"/>
      <c r="E191" s="99"/>
      <c r="F191" s="6">
        <v>0</v>
      </c>
      <c r="G191" s="6">
        <v>0</v>
      </c>
      <c r="H191" s="6">
        <v>0</v>
      </c>
      <c r="I191" s="6">
        <v>0</v>
      </c>
      <c r="J191" s="6"/>
      <c r="K191" s="6">
        <v>0</v>
      </c>
      <c r="L191" s="5"/>
    </row>
    <row r="192" spans="3:12" x14ac:dyDescent="0.25">
      <c r="C192" s="225"/>
      <c r="D192" s="197"/>
      <c r="E192" s="99"/>
      <c r="F192" s="6">
        <v>0</v>
      </c>
      <c r="G192" s="6">
        <v>0</v>
      </c>
      <c r="H192" s="6">
        <v>0</v>
      </c>
      <c r="I192" s="6">
        <v>0</v>
      </c>
      <c r="J192" s="6"/>
      <c r="K192" s="6">
        <v>0</v>
      </c>
      <c r="L192" s="5"/>
    </row>
    <row r="193" spans="3:12" x14ac:dyDescent="0.25">
      <c r="C193" s="225"/>
      <c r="D193" s="197"/>
      <c r="E193" s="99"/>
      <c r="F193" s="6">
        <v>0</v>
      </c>
      <c r="G193" s="6">
        <v>0</v>
      </c>
      <c r="H193" s="6">
        <v>0</v>
      </c>
      <c r="I193" s="6">
        <v>0</v>
      </c>
      <c r="J193" s="6"/>
      <c r="K193" s="6">
        <v>0</v>
      </c>
      <c r="L193" s="5"/>
    </row>
    <row r="194" spans="3:12" x14ac:dyDescent="0.25">
      <c r="C194" s="225"/>
      <c r="D194" s="197"/>
      <c r="E194" s="99"/>
      <c r="F194" s="6">
        <v>0</v>
      </c>
      <c r="G194" s="6">
        <v>0</v>
      </c>
      <c r="H194" s="6">
        <v>0</v>
      </c>
      <c r="I194" s="6">
        <v>0</v>
      </c>
      <c r="J194" s="6"/>
      <c r="K194" s="6">
        <v>0</v>
      </c>
      <c r="L194" s="5"/>
    </row>
    <row r="195" spans="3:12" x14ac:dyDescent="0.25">
      <c r="C195" s="225"/>
      <c r="D195" s="197"/>
      <c r="E195" s="99"/>
      <c r="F195" s="6">
        <v>0</v>
      </c>
      <c r="G195" s="6">
        <v>0</v>
      </c>
      <c r="H195" s="6">
        <v>0</v>
      </c>
      <c r="I195" s="6">
        <v>0</v>
      </c>
      <c r="J195" s="6"/>
      <c r="K195" s="6">
        <v>0</v>
      </c>
      <c r="L195" s="5"/>
    </row>
    <row r="196" spans="3:12" x14ac:dyDescent="0.25">
      <c r="C196" s="225"/>
      <c r="D196" s="197"/>
      <c r="E196" s="99"/>
      <c r="F196" s="6">
        <v>0</v>
      </c>
      <c r="G196" s="6">
        <v>0</v>
      </c>
      <c r="H196" s="6">
        <v>0</v>
      </c>
      <c r="I196" s="6">
        <v>0</v>
      </c>
      <c r="J196" s="6"/>
      <c r="K196" s="6">
        <v>0</v>
      </c>
      <c r="L196" s="5"/>
    </row>
    <row r="197" spans="3:12" x14ac:dyDescent="0.25">
      <c r="C197" s="225"/>
      <c r="D197" s="197"/>
      <c r="E197" s="99"/>
      <c r="F197" s="6">
        <v>0</v>
      </c>
      <c r="G197" s="6">
        <v>0</v>
      </c>
      <c r="H197" s="6">
        <v>0</v>
      </c>
      <c r="I197" s="6">
        <v>0</v>
      </c>
      <c r="J197" s="6"/>
      <c r="K197" s="6">
        <v>0</v>
      </c>
      <c r="L197" s="5"/>
    </row>
    <row r="198" spans="3:12" x14ac:dyDescent="0.25">
      <c r="C198" s="225"/>
      <c r="D198" s="197"/>
      <c r="E198" s="99"/>
      <c r="F198" s="6">
        <v>0</v>
      </c>
      <c r="G198" s="6">
        <v>0</v>
      </c>
      <c r="H198" s="6">
        <v>0</v>
      </c>
      <c r="I198" s="6">
        <v>0</v>
      </c>
      <c r="J198" s="6"/>
      <c r="K198" s="6">
        <v>0</v>
      </c>
      <c r="L198" s="108">
        <f>SUM(F185+G186+F187)</f>
        <v>226780</v>
      </c>
    </row>
    <row r="199" spans="3:12" x14ac:dyDescent="0.25">
      <c r="C199" s="225"/>
      <c r="D199" s="197"/>
      <c r="E199" s="99"/>
      <c r="F199" s="6">
        <v>0</v>
      </c>
      <c r="G199" s="6">
        <v>0</v>
      </c>
      <c r="H199" s="6">
        <v>0</v>
      </c>
      <c r="I199" s="6">
        <v>0</v>
      </c>
      <c r="J199" s="6"/>
      <c r="K199" s="6">
        <v>0</v>
      </c>
      <c r="L199" s="208">
        <f>SUM(G189:G190)+F188</f>
        <v>123150</v>
      </c>
    </row>
    <row r="200" spans="3:12" x14ac:dyDescent="0.25">
      <c r="C200" s="225"/>
      <c r="D200" s="197"/>
      <c r="E200" s="99"/>
      <c r="F200" s="6">
        <v>0</v>
      </c>
      <c r="G200" s="6">
        <v>0</v>
      </c>
      <c r="H200" s="6">
        <v>0</v>
      </c>
      <c r="I200" s="6">
        <v>0</v>
      </c>
      <c r="J200" s="6"/>
      <c r="K200" s="6">
        <v>0</v>
      </c>
      <c r="L200" s="108">
        <f>L198+L199</f>
        <v>349930</v>
      </c>
    </row>
    <row r="201" spans="3:12" x14ac:dyDescent="0.25">
      <c r="C201" s="225"/>
      <c r="D201" s="197"/>
      <c r="E201" s="99"/>
      <c r="F201" s="6">
        <v>0</v>
      </c>
      <c r="G201" s="6">
        <v>0</v>
      </c>
      <c r="H201" s="6">
        <v>0</v>
      </c>
      <c r="I201" s="6">
        <v>0</v>
      </c>
      <c r="J201" s="6"/>
      <c r="K201" s="6">
        <v>0</v>
      </c>
      <c r="L201" s="5"/>
    </row>
    <row r="202" spans="3:12" x14ac:dyDescent="0.25">
      <c r="C202" s="101"/>
      <c r="D202" s="117"/>
      <c r="E202" s="102" t="s">
        <v>27</v>
      </c>
      <c r="F202" s="33">
        <f>SUM(F185:F201)</f>
        <v>199930</v>
      </c>
      <c r="G202" s="33">
        <f>SUM(G185:G201)</f>
        <v>150000</v>
      </c>
      <c r="H202" s="33">
        <f>SUM(H185:H201)</f>
        <v>0</v>
      </c>
      <c r="I202" s="33">
        <f>SUM(I185:I201)</f>
        <v>0</v>
      </c>
      <c r="J202" s="33">
        <f>SUM(J185:J201)</f>
        <v>0</v>
      </c>
      <c r="K202" s="33">
        <f>SUM(F202:J202)-J202</f>
        <v>349930</v>
      </c>
      <c r="L202" s="16"/>
    </row>
    <row r="203" spans="3:12" x14ac:dyDescent="0.25">
      <c r="C203" s="224">
        <v>12</v>
      </c>
      <c r="D203" s="197" t="s">
        <v>119</v>
      </c>
      <c r="E203" s="15" t="s">
        <v>169</v>
      </c>
      <c r="F203" s="203">
        <v>33162</v>
      </c>
      <c r="G203" s="6">
        <v>0</v>
      </c>
      <c r="H203" s="6">
        <v>0</v>
      </c>
      <c r="I203" s="6">
        <v>0</v>
      </c>
      <c r="J203" s="6"/>
      <c r="K203" s="6">
        <v>0</v>
      </c>
      <c r="L203" s="5"/>
    </row>
    <row r="204" spans="3:12" x14ac:dyDescent="0.25">
      <c r="C204" s="225"/>
      <c r="D204" s="197" t="s">
        <v>22</v>
      </c>
      <c r="E204" s="15" t="s">
        <v>169</v>
      </c>
      <c r="F204" s="203">
        <v>229800</v>
      </c>
      <c r="G204" s="6">
        <v>0</v>
      </c>
      <c r="H204" s="6">
        <v>0</v>
      </c>
      <c r="I204" s="6">
        <v>0</v>
      </c>
      <c r="J204" s="6"/>
      <c r="K204" s="6">
        <v>0</v>
      </c>
      <c r="L204" s="5"/>
    </row>
    <row r="205" spans="3:12" x14ac:dyDescent="0.25">
      <c r="C205" s="225"/>
      <c r="D205" s="99" t="s">
        <v>191</v>
      </c>
      <c r="E205" s="99" t="s">
        <v>191</v>
      </c>
      <c r="F205" s="6">
        <v>0</v>
      </c>
      <c r="G205" s="6">
        <v>0</v>
      </c>
      <c r="H205" s="6">
        <v>0</v>
      </c>
      <c r="I205" s="199">
        <v>365000</v>
      </c>
      <c r="J205" s="6"/>
      <c r="K205" s="6">
        <v>0</v>
      </c>
      <c r="L205" s="5"/>
    </row>
    <row r="206" spans="3:12" x14ac:dyDescent="0.25">
      <c r="C206" s="225"/>
      <c r="D206" s="197" t="s">
        <v>24</v>
      </c>
      <c r="E206" s="15" t="s">
        <v>169</v>
      </c>
      <c r="F206" s="203">
        <v>144161</v>
      </c>
      <c r="G206" s="6">
        <v>0</v>
      </c>
      <c r="H206" s="6">
        <v>0</v>
      </c>
      <c r="I206" s="6">
        <v>0</v>
      </c>
      <c r="J206" s="6"/>
      <c r="K206" s="6">
        <v>0</v>
      </c>
      <c r="L206" s="5"/>
    </row>
    <row r="207" spans="3:12" x14ac:dyDescent="0.25">
      <c r="C207" s="225"/>
      <c r="D207" s="197" t="s">
        <v>23</v>
      </c>
      <c r="E207" s="15" t="s">
        <v>169</v>
      </c>
      <c r="F207" s="203">
        <v>57100</v>
      </c>
      <c r="G207" s="6">
        <v>0</v>
      </c>
      <c r="H207" s="6">
        <v>0</v>
      </c>
      <c r="I207" s="6">
        <v>0</v>
      </c>
      <c r="J207" s="6"/>
      <c r="K207" s="6">
        <v>0</v>
      </c>
      <c r="L207" s="5"/>
    </row>
    <row r="208" spans="3:12" x14ac:dyDescent="0.25">
      <c r="C208" s="225"/>
      <c r="D208" s="197" t="s">
        <v>145</v>
      </c>
      <c r="E208" s="99" t="s">
        <v>171</v>
      </c>
      <c r="F208" s="6">
        <v>0</v>
      </c>
      <c r="G208" s="203">
        <v>55000</v>
      </c>
      <c r="H208" s="6">
        <v>0</v>
      </c>
      <c r="I208" s="6">
        <v>0</v>
      </c>
      <c r="J208" s="6"/>
      <c r="K208" s="6">
        <v>0</v>
      </c>
      <c r="L208" s="5"/>
    </row>
    <row r="209" spans="3:12" x14ac:dyDescent="0.25">
      <c r="C209" s="225"/>
      <c r="D209" s="197" t="s">
        <v>40</v>
      </c>
      <c r="E209" s="99" t="s">
        <v>169</v>
      </c>
      <c r="F209" s="207">
        <v>10990</v>
      </c>
      <c r="G209" s="6">
        <v>0</v>
      </c>
      <c r="H209" s="6">
        <v>0</v>
      </c>
      <c r="I209" s="6">
        <v>0</v>
      </c>
      <c r="J209" s="6"/>
      <c r="K209" s="6">
        <v>0</v>
      </c>
      <c r="L209" s="5"/>
    </row>
    <row r="210" spans="3:12" x14ac:dyDescent="0.25">
      <c r="C210" s="225"/>
      <c r="D210" s="197" t="s">
        <v>127</v>
      </c>
      <c r="E210" s="99" t="s">
        <v>169</v>
      </c>
      <c r="F210" s="204">
        <v>92800</v>
      </c>
      <c r="G210" s="6">
        <v>0</v>
      </c>
      <c r="H210" s="6">
        <v>0</v>
      </c>
      <c r="I210" s="6">
        <v>0</v>
      </c>
      <c r="J210" s="6"/>
      <c r="K210" s="6">
        <v>0</v>
      </c>
      <c r="L210" s="5"/>
    </row>
    <row r="211" spans="3:12" x14ac:dyDescent="0.25">
      <c r="C211" s="225"/>
      <c r="D211" s="197" t="s">
        <v>46</v>
      </c>
      <c r="E211" s="99" t="s">
        <v>172</v>
      </c>
      <c r="F211" s="6">
        <v>0</v>
      </c>
      <c r="G211" s="6">
        <v>0</v>
      </c>
      <c r="H211" s="6">
        <v>0</v>
      </c>
      <c r="I211" s="207">
        <v>5000</v>
      </c>
      <c r="J211" s="6"/>
      <c r="K211" s="6">
        <v>0</v>
      </c>
      <c r="L211" s="5"/>
    </row>
    <row r="212" spans="3:12" x14ac:dyDescent="0.25">
      <c r="C212" s="225"/>
      <c r="D212" s="197" t="s">
        <v>46</v>
      </c>
      <c r="E212" s="99" t="s">
        <v>172</v>
      </c>
      <c r="F212" s="6">
        <v>0</v>
      </c>
      <c r="G212" s="6">
        <v>0</v>
      </c>
      <c r="H212" s="6">
        <v>0</v>
      </c>
      <c r="I212" s="207">
        <v>5000</v>
      </c>
      <c r="J212" s="6"/>
      <c r="K212" s="6">
        <v>0</v>
      </c>
      <c r="L212" s="5"/>
    </row>
    <row r="213" spans="3:12" x14ac:dyDescent="0.25">
      <c r="C213" s="225"/>
      <c r="D213" s="197" t="s">
        <v>154</v>
      </c>
      <c r="E213" s="99" t="s">
        <v>173</v>
      </c>
      <c r="F213" s="6">
        <v>0</v>
      </c>
      <c r="G213" s="207">
        <v>50000</v>
      </c>
      <c r="H213" s="6">
        <v>0</v>
      </c>
      <c r="I213" s="6">
        <v>0</v>
      </c>
      <c r="J213" s="6"/>
      <c r="K213" s="6">
        <v>0</v>
      </c>
      <c r="L213" s="5"/>
    </row>
    <row r="214" spans="3:12" x14ac:dyDescent="0.25">
      <c r="C214" s="225"/>
      <c r="D214" s="197" t="s">
        <v>37</v>
      </c>
      <c r="E214" s="99" t="s">
        <v>173</v>
      </c>
      <c r="F214" s="6">
        <v>0</v>
      </c>
      <c r="G214" s="216">
        <v>50000</v>
      </c>
      <c r="H214" s="6">
        <v>0</v>
      </c>
      <c r="I214" s="6">
        <v>0</v>
      </c>
      <c r="J214" s="6"/>
      <c r="K214" s="6">
        <v>0</v>
      </c>
      <c r="L214" s="5"/>
    </row>
    <row r="215" spans="3:12" x14ac:dyDescent="0.25">
      <c r="C215" s="225"/>
      <c r="D215" s="197"/>
      <c r="E215" s="99"/>
      <c r="F215" s="6">
        <v>0</v>
      </c>
      <c r="G215" s="6">
        <v>0</v>
      </c>
      <c r="H215" s="6">
        <v>0</v>
      </c>
      <c r="I215" s="6">
        <v>0</v>
      </c>
      <c r="J215" s="6"/>
      <c r="K215" s="6">
        <v>0</v>
      </c>
      <c r="L215" s="5"/>
    </row>
    <row r="216" spans="3:12" x14ac:dyDescent="0.25">
      <c r="C216" s="225"/>
      <c r="D216" s="197"/>
      <c r="E216" s="99"/>
      <c r="F216" s="6">
        <v>0</v>
      </c>
      <c r="G216" s="6">
        <v>0</v>
      </c>
      <c r="H216" s="6">
        <v>0</v>
      </c>
      <c r="I216" s="6">
        <v>0</v>
      </c>
      <c r="J216" s="6"/>
      <c r="K216" s="6">
        <v>0</v>
      </c>
      <c r="L216" s="5"/>
    </row>
    <row r="217" spans="3:12" x14ac:dyDescent="0.25">
      <c r="C217" s="225"/>
      <c r="D217" s="197"/>
      <c r="E217" s="99"/>
      <c r="F217" s="6">
        <v>0</v>
      </c>
      <c r="G217" s="6">
        <v>0</v>
      </c>
      <c r="H217" s="6">
        <v>0</v>
      </c>
      <c r="I217" s="6">
        <v>0</v>
      </c>
      <c r="J217" s="6"/>
      <c r="K217" s="6">
        <v>0</v>
      </c>
      <c r="L217" s="5"/>
    </row>
    <row r="218" spans="3:12" x14ac:dyDescent="0.25">
      <c r="C218" s="225"/>
      <c r="D218" s="197"/>
      <c r="E218" s="99"/>
      <c r="F218" s="6">
        <v>0</v>
      </c>
      <c r="G218" s="6">
        <v>0</v>
      </c>
      <c r="H218" s="6">
        <v>0</v>
      </c>
      <c r="I218" s="6">
        <v>0</v>
      </c>
      <c r="J218" s="6"/>
      <c r="K218" s="6">
        <v>0</v>
      </c>
      <c r="L218" s="5"/>
    </row>
    <row r="219" spans="3:12" x14ac:dyDescent="0.25">
      <c r="C219" s="225"/>
      <c r="D219" s="197"/>
      <c r="E219" s="99"/>
      <c r="F219" s="6">
        <v>0</v>
      </c>
      <c r="G219" s="6">
        <v>0</v>
      </c>
      <c r="H219" s="6">
        <v>0</v>
      </c>
      <c r="I219" s="6">
        <v>0</v>
      </c>
      <c r="J219" s="6"/>
      <c r="K219" s="6">
        <v>0</v>
      </c>
      <c r="L219" s="198">
        <f>SUM(F203+F204+F206+F207+G208)</f>
        <v>519223</v>
      </c>
    </row>
    <row r="220" spans="3:12" x14ac:dyDescent="0.25">
      <c r="C220" s="225"/>
      <c r="D220" s="197"/>
      <c r="E220" s="99"/>
      <c r="F220" s="6">
        <v>0</v>
      </c>
      <c r="G220" s="6">
        <v>0</v>
      </c>
      <c r="H220" s="6">
        <v>0</v>
      </c>
      <c r="I220" s="6">
        <v>0</v>
      </c>
      <c r="J220" s="6"/>
      <c r="K220" s="6">
        <v>0</v>
      </c>
      <c r="L220" s="208">
        <f>SUM(F209)+I211+I212+G213</f>
        <v>70990</v>
      </c>
    </row>
    <row r="221" spans="3:12" x14ac:dyDescent="0.25">
      <c r="C221" s="225"/>
      <c r="D221" s="197"/>
      <c r="E221" s="99"/>
      <c r="F221" s="6">
        <v>0</v>
      </c>
      <c r="G221" s="6">
        <v>0</v>
      </c>
      <c r="H221" s="6">
        <v>0</v>
      </c>
      <c r="I221" s="6">
        <v>0</v>
      </c>
      <c r="J221" s="6"/>
      <c r="K221" s="6">
        <v>0</v>
      </c>
      <c r="L221" s="5"/>
    </row>
    <row r="222" spans="3:12" x14ac:dyDescent="0.25">
      <c r="C222" s="101"/>
      <c r="D222" s="117"/>
      <c r="E222" s="102" t="s">
        <v>27</v>
      </c>
      <c r="F222" s="33">
        <f>SUM(F203:F221)</f>
        <v>568013</v>
      </c>
      <c r="G222" s="33">
        <f>SUM(G203:G221)</f>
        <v>155000</v>
      </c>
      <c r="H222" s="33">
        <f>SUM(H203:H221)</f>
        <v>0</v>
      </c>
      <c r="I222" s="33">
        <f>SUM(I203:I221)</f>
        <v>375000</v>
      </c>
      <c r="J222" s="33">
        <f>SUM(J203:J221)</f>
        <v>0</v>
      </c>
      <c r="K222" s="33">
        <f>SUM(F222:J222)-J222</f>
        <v>1098013</v>
      </c>
      <c r="L222" s="16"/>
    </row>
    <row r="223" spans="3:12" x14ac:dyDescent="0.25">
      <c r="C223" s="224">
        <v>13</v>
      </c>
      <c r="D223" s="99" t="s">
        <v>192</v>
      </c>
      <c r="E223" s="99" t="s">
        <v>169</v>
      </c>
      <c r="F223" s="203">
        <v>18661</v>
      </c>
      <c r="G223" s="6">
        <v>0</v>
      </c>
      <c r="H223" s="6">
        <v>0</v>
      </c>
      <c r="I223" s="6">
        <v>0</v>
      </c>
      <c r="J223" s="6"/>
      <c r="K223" s="6">
        <v>0</v>
      </c>
      <c r="L223" s="5"/>
    </row>
    <row r="224" spans="3:12" x14ac:dyDescent="0.25">
      <c r="C224" s="225"/>
      <c r="D224" s="197" t="s">
        <v>34</v>
      </c>
      <c r="E224" s="99" t="s">
        <v>169</v>
      </c>
      <c r="F224" s="203">
        <v>10000</v>
      </c>
      <c r="G224" s="6">
        <v>0</v>
      </c>
      <c r="H224" s="6">
        <v>0</v>
      </c>
      <c r="I224" s="6">
        <v>0</v>
      </c>
      <c r="J224" s="6"/>
      <c r="K224" s="6">
        <v>0</v>
      </c>
      <c r="L224" s="5"/>
    </row>
    <row r="225" spans="3:12" x14ac:dyDescent="0.25">
      <c r="C225" s="225"/>
      <c r="D225" s="197" t="s">
        <v>127</v>
      </c>
      <c r="E225" s="99" t="s">
        <v>169</v>
      </c>
      <c r="F225" s="203">
        <v>107300</v>
      </c>
      <c r="G225" s="6">
        <v>0</v>
      </c>
      <c r="H225" s="6">
        <v>0</v>
      </c>
      <c r="I225" s="6">
        <v>0</v>
      </c>
      <c r="J225" s="6"/>
      <c r="K225" s="6">
        <v>0</v>
      </c>
      <c r="L225" s="5"/>
    </row>
    <row r="226" spans="3:12" x14ac:dyDescent="0.25">
      <c r="C226" s="225"/>
      <c r="D226" s="197" t="s">
        <v>40</v>
      </c>
      <c r="E226" s="99" t="s">
        <v>169</v>
      </c>
      <c r="F226" s="203">
        <v>5780</v>
      </c>
      <c r="G226" s="6">
        <v>0</v>
      </c>
      <c r="H226" s="6">
        <v>0</v>
      </c>
      <c r="I226" s="6">
        <v>0</v>
      </c>
      <c r="J226" s="6"/>
      <c r="K226" s="6">
        <v>0</v>
      </c>
      <c r="L226" s="5"/>
    </row>
    <row r="227" spans="3:12" x14ac:dyDescent="0.25">
      <c r="C227" s="225"/>
      <c r="D227" s="197" t="s">
        <v>145</v>
      </c>
      <c r="E227" s="99" t="s">
        <v>171</v>
      </c>
      <c r="F227" s="6">
        <v>0</v>
      </c>
      <c r="G227" s="203">
        <v>50000</v>
      </c>
      <c r="H227" s="6">
        <v>0</v>
      </c>
      <c r="I227" s="6">
        <v>0</v>
      </c>
      <c r="J227" s="6"/>
      <c r="K227" s="6">
        <v>0</v>
      </c>
      <c r="L227" s="5"/>
    </row>
    <row r="228" spans="3:12" x14ac:dyDescent="0.25">
      <c r="C228" s="225"/>
      <c r="D228" s="197" t="s">
        <v>18</v>
      </c>
      <c r="E228" s="99" t="s">
        <v>169</v>
      </c>
      <c r="F228" s="207">
        <v>10850</v>
      </c>
      <c r="G228" s="6">
        <v>0</v>
      </c>
      <c r="H228" s="6">
        <v>0</v>
      </c>
      <c r="I228" s="6">
        <v>0</v>
      </c>
      <c r="J228" s="6"/>
      <c r="K228" s="6">
        <v>0</v>
      </c>
      <c r="L228" s="5"/>
    </row>
    <row r="229" spans="3:12" x14ac:dyDescent="0.25">
      <c r="C229" s="225"/>
      <c r="D229" s="197" t="s">
        <v>19</v>
      </c>
      <c r="E229" s="99" t="s">
        <v>169</v>
      </c>
      <c r="F229" s="207">
        <v>57250</v>
      </c>
      <c r="G229" s="6">
        <v>0</v>
      </c>
      <c r="H229" s="6">
        <v>0</v>
      </c>
      <c r="I229" s="6">
        <v>0</v>
      </c>
      <c r="J229" s="6"/>
      <c r="K229" s="6">
        <v>0</v>
      </c>
      <c r="L229" s="5"/>
    </row>
    <row r="230" spans="3:12" x14ac:dyDescent="0.25">
      <c r="C230" s="225"/>
      <c r="D230" s="197" t="s">
        <v>37</v>
      </c>
      <c r="E230" s="99" t="s">
        <v>173</v>
      </c>
      <c r="F230" s="6">
        <v>0</v>
      </c>
      <c r="G230" s="207">
        <v>50000</v>
      </c>
      <c r="H230" s="6">
        <v>0</v>
      </c>
      <c r="I230" s="6">
        <v>0</v>
      </c>
      <c r="J230" s="6"/>
      <c r="K230" s="6">
        <v>0</v>
      </c>
      <c r="L230" s="5"/>
    </row>
    <row r="231" spans="3:12" x14ac:dyDescent="0.25">
      <c r="C231" s="225"/>
      <c r="D231" s="197" t="s">
        <v>44</v>
      </c>
      <c r="E231" s="99" t="s">
        <v>173</v>
      </c>
      <c r="F231" s="6">
        <v>0</v>
      </c>
      <c r="G231" s="207">
        <v>50000</v>
      </c>
      <c r="H231" s="6">
        <v>0</v>
      </c>
      <c r="I231" s="6">
        <v>0</v>
      </c>
      <c r="J231" s="6"/>
      <c r="K231" s="6">
        <v>0</v>
      </c>
      <c r="L231" s="5"/>
    </row>
    <row r="232" spans="3:12" x14ac:dyDescent="0.25">
      <c r="C232" s="225"/>
      <c r="D232" s="197"/>
      <c r="E232" s="15"/>
      <c r="F232" s="6">
        <v>0</v>
      </c>
      <c r="G232" s="6">
        <v>0</v>
      </c>
      <c r="H232" s="6">
        <v>0</v>
      </c>
      <c r="I232" s="6">
        <v>0</v>
      </c>
      <c r="J232" s="6"/>
      <c r="K232" s="6">
        <v>0</v>
      </c>
      <c r="L232" s="5"/>
    </row>
    <row r="233" spans="3:12" x14ac:dyDescent="0.25">
      <c r="C233" s="225"/>
      <c r="D233" s="197"/>
      <c r="E233" s="99"/>
      <c r="F233" s="6">
        <v>0</v>
      </c>
      <c r="G233" s="6">
        <v>0</v>
      </c>
      <c r="H233" s="6">
        <v>0</v>
      </c>
      <c r="I233" s="6">
        <v>0</v>
      </c>
      <c r="J233" s="6"/>
      <c r="K233" s="6">
        <v>0</v>
      </c>
      <c r="L233" s="5"/>
    </row>
    <row r="234" spans="3:12" x14ac:dyDescent="0.25">
      <c r="C234" s="225"/>
      <c r="D234" s="197"/>
      <c r="E234" s="99"/>
      <c r="F234" s="6">
        <v>0</v>
      </c>
      <c r="G234" s="6">
        <v>0</v>
      </c>
      <c r="H234" s="6">
        <v>0</v>
      </c>
      <c r="I234" s="6">
        <v>0</v>
      </c>
      <c r="J234" s="6"/>
      <c r="K234" s="6">
        <v>0</v>
      </c>
      <c r="L234" s="5"/>
    </row>
    <row r="235" spans="3:12" x14ac:dyDescent="0.25">
      <c r="C235" s="225"/>
      <c r="D235" s="197"/>
      <c r="E235" s="99"/>
      <c r="F235" s="6">
        <v>0</v>
      </c>
      <c r="G235" s="6">
        <v>0</v>
      </c>
      <c r="H235" s="6">
        <v>0</v>
      </c>
      <c r="I235" s="6">
        <v>0</v>
      </c>
      <c r="J235" s="6"/>
      <c r="K235" s="6">
        <v>0</v>
      </c>
      <c r="L235" s="5"/>
    </row>
    <row r="236" spans="3:12" x14ac:dyDescent="0.25">
      <c r="C236" s="225"/>
      <c r="D236" s="197"/>
      <c r="E236" s="99"/>
      <c r="F236" s="6">
        <v>0</v>
      </c>
      <c r="G236" s="6">
        <v>0</v>
      </c>
      <c r="H236" s="6">
        <v>0</v>
      </c>
      <c r="I236" s="6">
        <v>0</v>
      </c>
      <c r="J236" s="6"/>
      <c r="K236" s="6">
        <v>0</v>
      </c>
      <c r="L236" s="5"/>
    </row>
    <row r="237" spans="3:12" x14ac:dyDescent="0.25">
      <c r="C237" s="225"/>
      <c r="D237" s="197"/>
      <c r="E237" s="99"/>
      <c r="F237" s="6">
        <v>0</v>
      </c>
      <c r="G237" s="6">
        <v>0</v>
      </c>
      <c r="H237" s="6">
        <v>0</v>
      </c>
      <c r="I237" s="6">
        <v>0</v>
      </c>
      <c r="J237" s="6"/>
      <c r="K237" s="6">
        <v>0</v>
      </c>
      <c r="L237" s="206">
        <f>SUM(F223+F224+F225+F226+G227)</f>
        <v>191741</v>
      </c>
    </row>
    <row r="238" spans="3:12" x14ac:dyDescent="0.25">
      <c r="C238" s="225"/>
      <c r="D238" s="197"/>
      <c r="E238" s="99"/>
      <c r="F238" s="6">
        <v>0</v>
      </c>
      <c r="G238" s="6">
        <v>0</v>
      </c>
      <c r="H238" s="6">
        <v>0</v>
      </c>
      <c r="I238" s="6">
        <v>0</v>
      </c>
      <c r="J238" s="6"/>
      <c r="K238" s="6">
        <v>0</v>
      </c>
      <c r="L238" s="208">
        <f>SUM(F228:F229)+G230+G231</f>
        <v>168100</v>
      </c>
    </row>
    <row r="239" spans="3:12" x14ac:dyDescent="0.25">
      <c r="C239" s="225"/>
      <c r="D239" s="197"/>
      <c r="E239" s="99"/>
      <c r="F239" s="6">
        <v>0</v>
      </c>
      <c r="G239" s="6">
        <v>0</v>
      </c>
      <c r="H239" s="6">
        <v>0</v>
      </c>
      <c r="I239" s="6">
        <v>0</v>
      </c>
      <c r="J239" s="6"/>
      <c r="K239" s="6">
        <v>0</v>
      </c>
      <c r="L239" s="108">
        <f>L237+L238</f>
        <v>359841</v>
      </c>
    </row>
    <row r="240" spans="3:12" x14ac:dyDescent="0.25">
      <c r="C240" s="101"/>
      <c r="D240" s="117"/>
      <c r="E240" s="102" t="s">
        <v>27</v>
      </c>
      <c r="F240" s="33">
        <f>SUM(F223:F239)</f>
        <v>209841</v>
      </c>
      <c r="G240" s="33">
        <f>SUM(G223:G239)</f>
        <v>150000</v>
      </c>
      <c r="H240" s="33">
        <f>SUM(H223:H239)</f>
        <v>0</v>
      </c>
      <c r="I240" s="33">
        <f>SUM(I223:I239)</f>
        <v>0</v>
      </c>
      <c r="J240" s="33">
        <f>SUM(J223:J239)</f>
        <v>0</v>
      </c>
      <c r="K240" s="33">
        <f>SUM(F240:J240)-J240</f>
        <v>359841</v>
      </c>
      <c r="L240" s="16"/>
    </row>
    <row r="241" spans="3:12" x14ac:dyDescent="0.25">
      <c r="C241" s="224">
        <v>14</v>
      </c>
      <c r="D241" s="197" t="s">
        <v>34</v>
      </c>
      <c r="E241" s="15" t="s">
        <v>169</v>
      </c>
      <c r="F241" s="200">
        <v>10000</v>
      </c>
      <c r="G241" s="6">
        <v>0</v>
      </c>
      <c r="H241" s="6">
        <v>0</v>
      </c>
      <c r="I241" s="6">
        <v>0</v>
      </c>
      <c r="J241" s="6"/>
      <c r="K241" s="6">
        <v>0</v>
      </c>
      <c r="L241" s="5"/>
    </row>
    <row r="242" spans="3:12" x14ac:dyDescent="0.25">
      <c r="C242" s="225"/>
      <c r="D242" s="197" t="s">
        <v>127</v>
      </c>
      <c r="E242" s="15" t="s">
        <v>169</v>
      </c>
      <c r="F242" s="200">
        <v>106300</v>
      </c>
      <c r="G242" s="6">
        <v>0</v>
      </c>
      <c r="H242" s="6">
        <v>0</v>
      </c>
      <c r="I242" s="6">
        <v>0</v>
      </c>
      <c r="J242" s="6"/>
      <c r="K242" s="6">
        <v>0</v>
      </c>
      <c r="L242" s="5"/>
    </row>
    <row r="243" spans="3:12" x14ac:dyDescent="0.25">
      <c r="C243" s="225"/>
      <c r="D243" s="197" t="s">
        <v>44</v>
      </c>
      <c r="E243" s="99" t="s">
        <v>171</v>
      </c>
      <c r="F243" s="6">
        <v>0</v>
      </c>
      <c r="G243" s="200">
        <v>65000</v>
      </c>
      <c r="H243" s="6">
        <v>0</v>
      </c>
      <c r="I243" s="6">
        <v>0</v>
      </c>
      <c r="J243" s="6"/>
      <c r="K243" s="6">
        <v>0</v>
      </c>
      <c r="L243" s="5"/>
    </row>
    <row r="244" spans="3:12" x14ac:dyDescent="0.25">
      <c r="C244" s="225"/>
      <c r="D244" s="197" t="s">
        <v>22</v>
      </c>
      <c r="E244" s="15" t="s">
        <v>169</v>
      </c>
      <c r="F244" s="201">
        <v>151900</v>
      </c>
      <c r="G244" s="6">
        <v>0</v>
      </c>
      <c r="H244" s="6">
        <v>0</v>
      </c>
      <c r="I244" s="6">
        <v>0</v>
      </c>
      <c r="J244" s="6"/>
      <c r="K244" s="6">
        <v>0</v>
      </c>
      <c r="L244" s="5"/>
    </row>
    <row r="245" spans="3:12" x14ac:dyDescent="0.25">
      <c r="C245" s="225"/>
      <c r="D245" s="197" t="s">
        <v>37</v>
      </c>
      <c r="E245" s="99" t="s">
        <v>173</v>
      </c>
      <c r="F245" s="6">
        <v>0</v>
      </c>
      <c r="G245" s="201">
        <v>60000</v>
      </c>
      <c r="H245" s="6">
        <v>0</v>
      </c>
      <c r="I245" s="6">
        <v>0</v>
      </c>
      <c r="J245" s="6"/>
      <c r="K245" s="6">
        <v>0</v>
      </c>
      <c r="L245" s="5"/>
    </row>
    <row r="246" spans="3:12" x14ac:dyDescent="0.25">
      <c r="C246" s="225"/>
      <c r="D246" s="197" t="s">
        <v>145</v>
      </c>
      <c r="E246" s="99" t="s">
        <v>173</v>
      </c>
      <c r="F246" s="6">
        <v>0</v>
      </c>
      <c r="G246" s="201">
        <v>60000</v>
      </c>
      <c r="H246" s="6">
        <v>0</v>
      </c>
      <c r="I246" s="6">
        <v>0</v>
      </c>
      <c r="J246" s="6"/>
      <c r="K246" s="6">
        <v>0</v>
      </c>
      <c r="L246" s="5"/>
    </row>
    <row r="247" spans="3:12" x14ac:dyDescent="0.25">
      <c r="C247" s="225"/>
      <c r="D247" s="197"/>
      <c r="E247" s="99"/>
      <c r="F247" s="6">
        <v>0</v>
      </c>
      <c r="G247" s="6">
        <v>0</v>
      </c>
      <c r="H247" s="6">
        <v>0</v>
      </c>
      <c r="I247" s="6">
        <v>0</v>
      </c>
      <c r="J247" s="6"/>
      <c r="K247" s="6">
        <v>0</v>
      </c>
      <c r="L247" s="5"/>
    </row>
    <row r="248" spans="3:12" x14ac:dyDescent="0.25">
      <c r="C248" s="225"/>
      <c r="D248" s="197"/>
      <c r="E248" s="99"/>
      <c r="F248" s="6">
        <v>0</v>
      </c>
      <c r="G248" s="6">
        <v>0</v>
      </c>
      <c r="H248" s="6">
        <v>0</v>
      </c>
      <c r="I248" s="6">
        <v>0</v>
      </c>
      <c r="J248" s="6"/>
      <c r="K248" s="6">
        <v>0</v>
      </c>
      <c r="L248" s="5"/>
    </row>
    <row r="249" spans="3:12" x14ac:dyDescent="0.25">
      <c r="C249" s="225"/>
      <c r="D249" s="197"/>
      <c r="E249" s="99"/>
      <c r="F249" s="6">
        <v>0</v>
      </c>
      <c r="G249" s="6">
        <v>0</v>
      </c>
      <c r="H249" s="6">
        <v>0</v>
      </c>
      <c r="I249" s="6">
        <v>0</v>
      </c>
      <c r="J249" s="6"/>
      <c r="K249" s="6">
        <v>0</v>
      </c>
      <c r="L249" s="5"/>
    </row>
    <row r="250" spans="3:12" x14ac:dyDescent="0.25">
      <c r="C250" s="225"/>
      <c r="D250" s="197"/>
      <c r="E250" s="99"/>
      <c r="F250" s="6">
        <v>0</v>
      </c>
      <c r="G250" s="6">
        <v>0</v>
      </c>
      <c r="H250" s="6">
        <v>0</v>
      </c>
      <c r="I250" s="6">
        <v>0</v>
      </c>
      <c r="J250" s="6"/>
      <c r="K250" s="6">
        <v>0</v>
      </c>
      <c r="L250" s="5"/>
    </row>
    <row r="251" spans="3:12" x14ac:dyDescent="0.25">
      <c r="C251" s="225"/>
      <c r="D251" s="197"/>
      <c r="E251" s="99"/>
      <c r="F251" s="6">
        <v>0</v>
      </c>
      <c r="G251" s="6">
        <v>0</v>
      </c>
      <c r="H251" s="6">
        <v>0</v>
      </c>
      <c r="I251" s="6">
        <v>0</v>
      </c>
      <c r="J251" s="6"/>
      <c r="K251" s="6">
        <v>0</v>
      </c>
      <c r="L251" s="5"/>
    </row>
    <row r="252" spans="3:12" x14ac:dyDescent="0.25">
      <c r="C252" s="225"/>
      <c r="D252" s="197"/>
      <c r="E252" s="99"/>
      <c r="F252" s="6">
        <v>0</v>
      </c>
      <c r="G252" s="6">
        <v>0</v>
      </c>
      <c r="H252" s="6">
        <v>0</v>
      </c>
      <c r="I252" s="6">
        <v>0</v>
      </c>
      <c r="J252" s="6"/>
      <c r="K252" s="6">
        <v>0</v>
      </c>
      <c r="L252" s="5"/>
    </row>
    <row r="253" spans="3:12" x14ac:dyDescent="0.25">
      <c r="C253" s="225"/>
      <c r="D253" s="197"/>
      <c r="E253" s="99"/>
      <c r="F253" s="6">
        <v>0</v>
      </c>
      <c r="G253" s="6">
        <v>0</v>
      </c>
      <c r="H253" s="6">
        <v>0</v>
      </c>
      <c r="I253" s="6">
        <v>0</v>
      </c>
      <c r="J253" s="6"/>
      <c r="K253" s="6">
        <v>0</v>
      </c>
      <c r="L253" s="5"/>
    </row>
    <row r="254" spans="3:12" x14ac:dyDescent="0.25">
      <c r="C254" s="225"/>
      <c r="D254" s="197"/>
      <c r="E254" s="99"/>
      <c r="F254" s="6">
        <v>0</v>
      </c>
      <c r="G254" s="6">
        <v>0</v>
      </c>
      <c r="H254" s="6">
        <v>0</v>
      </c>
      <c r="I254" s="6">
        <v>0</v>
      </c>
      <c r="J254" s="6"/>
      <c r="K254" s="6">
        <v>0</v>
      </c>
      <c r="L254" s="5"/>
    </row>
    <row r="255" spans="3:12" x14ac:dyDescent="0.25">
      <c r="C255" s="225"/>
      <c r="D255" s="197"/>
      <c r="E255" s="99"/>
      <c r="F255" s="6">
        <v>0</v>
      </c>
      <c r="G255" s="6">
        <v>0</v>
      </c>
      <c r="H255" s="6">
        <v>0</v>
      </c>
      <c r="I255" s="6">
        <v>0</v>
      </c>
      <c r="J255" s="6"/>
      <c r="K255" s="6">
        <v>0</v>
      </c>
      <c r="L255" s="5"/>
    </row>
    <row r="256" spans="3:12" x14ac:dyDescent="0.25">
      <c r="C256" s="225"/>
      <c r="D256" s="197"/>
      <c r="E256" s="99"/>
      <c r="F256" s="6">
        <v>0</v>
      </c>
      <c r="G256" s="6">
        <v>0</v>
      </c>
      <c r="H256" s="6">
        <v>0</v>
      </c>
      <c r="I256" s="6">
        <v>0</v>
      </c>
      <c r="J256" s="6"/>
      <c r="K256" s="6">
        <v>0</v>
      </c>
      <c r="L256" s="5"/>
    </row>
    <row r="257" spans="3:12" x14ac:dyDescent="0.25">
      <c r="C257" s="225"/>
      <c r="D257" s="197"/>
      <c r="E257" s="99"/>
      <c r="F257" s="6">
        <v>0</v>
      </c>
      <c r="G257" s="6">
        <v>0</v>
      </c>
      <c r="H257" s="6">
        <v>0</v>
      </c>
      <c r="I257" s="6">
        <v>0</v>
      </c>
      <c r="J257" s="6"/>
      <c r="K257" s="6">
        <v>0</v>
      </c>
      <c r="L257" s="198">
        <f>SUM(F241:F242)+G243</f>
        <v>181300</v>
      </c>
    </row>
    <row r="258" spans="3:12" x14ac:dyDescent="0.25">
      <c r="C258" s="225"/>
      <c r="D258" s="197"/>
      <c r="E258" s="99"/>
      <c r="F258" s="6">
        <v>0</v>
      </c>
      <c r="G258" s="6">
        <v>0</v>
      </c>
      <c r="H258" s="6">
        <v>0</v>
      </c>
      <c r="I258" s="6">
        <v>0</v>
      </c>
      <c r="J258" s="6"/>
      <c r="K258" s="6">
        <v>0</v>
      </c>
      <c r="L258" s="202">
        <f>SUM(F244+G245+G246)</f>
        <v>271900</v>
      </c>
    </row>
    <row r="259" spans="3:12" x14ac:dyDescent="0.25">
      <c r="C259" s="101"/>
      <c r="D259" s="117"/>
      <c r="E259" s="102" t="s">
        <v>27</v>
      </c>
      <c r="F259" s="33">
        <f>SUM(F241:F258)</f>
        <v>268200</v>
      </c>
      <c r="G259" s="33">
        <f>SUM(G241:G258)</f>
        <v>185000</v>
      </c>
      <c r="H259" s="33">
        <f>SUM(H241:H258)</f>
        <v>0</v>
      </c>
      <c r="I259" s="33">
        <f>SUM(I241:I258)</f>
        <v>0</v>
      </c>
      <c r="J259" s="33">
        <f>SUM(J241:J258)</f>
        <v>0</v>
      </c>
      <c r="K259" s="33">
        <f>SUM(F259:J259)-J259</f>
        <v>453200</v>
      </c>
      <c r="L259" s="16"/>
    </row>
    <row r="260" spans="3:12" x14ac:dyDescent="0.25">
      <c r="C260" s="224">
        <v>15</v>
      </c>
      <c r="D260" s="197" t="s">
        <v>37</v>
      </c>
      <c r="E260" s="15" t="s">
        <v>171</v>
      </c>
      <c r="F260" s="6">
        <v>0</v>
      </c>
      <c r="G260" s="200">
        <v>55000</v>
      </c>
      <c r="H260" s="6">
        <v>0</v>
      </c>
      <c r="I260" s="6">
        <v>0</v>
      </c>
      <c r="J260" s="6"/>
      <c r="K260" s="6">
        <v>0</v>
      </c>
      <c r="L260" s="5"/>
    </row>
    <row r="261" spans="3:12" x14ac:dyDescent="0.25">
      <c r="C261" s="225"/>
      <c r="D261" s="99" t="s">
        <v>194</v>
      </c>
      <c r="E261" s="15" t="s">
        <v>195</v>
      </c>
      <c r="F261" s="6">
        <v>0</v>
      </c>
      <c r="G261" s="6">
        <v>0</v>
      </c>
      <c r="H261" s="6">
        <v>0</v>
      </c>
      <c r="I261" s="205">
        <v>120000</v>
      </c>
      <c r="J261" s="6"/>
      <c r="K261" s="6">
        <v>0</v>
      </c>
      <c r="L261" s="5"/>
    </row>
    <row r="262" spans="3:12" x14ac:dyDescent="0.25">
      <c r="C262" s="225"/>
      <c r="D262" s="197" t="s">
        <v>139</v>
      </c>
      <c r="E262" s="15" t="s">
        <v>169</v>
      </c>
      <c r="F262" s="201">
        <v>10000</v>
      </c>
      <c r="G262" s="6">
        <v>0</v>
      </c>
      <c r="H262" s="6">
        <v>0</v>
      </c>
      <c r="I262" s="6">
        <v>0</v>
      </c>
      <c r="J262" s="6"/>
      <c r="K262" s="6">
        <v>0</v>
      </c>
      <c r="L262" s="5"/>
    </row>
    <row r="263" spans="3:12" x14ac:dyDescent="0.25">
      <c r="C263" s="225"/>
      <c r="D263" s="197" t="s">
        <v>148</v>
      </c>
      <c r="E263" s="15" t="s">
        <v>169</v>
      </c>
      <c r="F263" s="201">
        <v>152500</v>
      </c>
      <c r="G263" s="6">
        <v>0</v>
      </c>
      <c r="H263" s="6">
        <v>0</v>
      </c>
      <c r="I263" s="6">
        <v>0</v>
      </c>
      <c r="J263" s="6"/>
      <c r="K263" s="6">
        <v>0</v>
      </c>
      <c r="L263" s="5"/>
    </row>
    <row r="264" spans="3:12" x14ac:dyDescent="0.25">
      <c r="C264" s="225"/>
      <c r="D264" s="197" t="s">
        <v>19</v>
      </c>
      <c r="E264" s="15" t="s">
        <v>169</v>
      </c>
      <c r="F264" s="201">
        <v>48310</v>
      </c>
      <c r="G264" s="6">
        <v>0</v>
      </c>
      <c r="H264" s="6">
        <v>0</v>
      </c>
      <c r="I264" s="6">
        <v>0</v>
      </c>
      <c r="J264" s="6"/>
      <c r="K264" s="6">
        <v>0</v>
      </c>
      <c r="L264" s="5"/>
    </row>
    <row r="265" spans="3:12" x14ac:dyDescent="0.25">
      <c r="C265" s="225"/>
      <c r="D265" s="197" t="s">
        <v>106</v>
      </c>
      <c r="E265" s="15" t="s">
        <v>169</v>
      </c>
      <c r="F265" s="201">
        <v>93750</v>
      </c>
      <c r="G265" s="6">
        <v>0</v>
      </c>
      <c r="H265" s="6">
        <v>0</v>
      </c>
      <c r="I265" s="6">
        <v>0</v>
      </c>
      <c r="J265" s="6"/>
      <c r="K265" s="6">
        <v>0</v>
      </c>
      <c r="L265" s="5"/>
    </row>
    <row r="266" spans="3:12" x14ac:dyDescent="0.25">
      <c r="C266" s="225"/>
      <c r="D266" s="197" t="s">
        <v>40</v>
      </c>
      <c r="E266" s="15" t="s">
        <v>169</v>
      </c>
      <c r="F266" s="201">
        <v>19460</v>
      </c>
      <c r="G266" s="6">
        <v>0</v>
      </c>
      <c r="H266" s="6">
        <v>0</v>
      </c>
      <c r="I266" s="6">
        <v>0</v>
      </c>
      <c r="J266" s="6"/>
      <c r="K266" s="6">
        <v>0</v>
      </c>
      <c r="L266" s="5"/>
    </row>
    <row r="267" spans="3:12" x14ac:dyDescent="0.25">
      <c r="C267" s="225"/>
      <c r="D267" s="197" t="s">
        <v>154</v>
      </c>
      <c r="E267" s="99" t="s">
        <v>173</v>
      </c>
      <c r="F267" s="6">
        <v>0</v>
      </c>
      <c r="G267" s="201">
        <v>55000</v>
      </c>
      <c r="H267" s="6">
        <v>0</v>
      </c>
      <c r="I267" s="6">
        <v>0</v>
      </c>
      <c r="J267" s="6"/>
      <c r="K267" s="6">
        <v>0</v>
      </c>
      <c r="L267" s="5"/>
    </row>
    <row r="268" spans="3:12" x14ac:dyDescent="0.25">
      <c r="C268" s="225"/>
      <c r="D268" s="197" t="s">
        <v>145</v>
      </c>
      <c r="E268" s="99" t="s">
        <v>173</v>
      </c>
      <c r="F268" s="6">
        <v>0</v>
      </c>
      <c r="G268" s="201">
        <v>55000</v>
      </c>
      <c r="H268" s="6">
        <v>0</v>
      </c>
      <c r="I268" s="6">
        <v>0</v>
      </c>
      <c r="J268" s="6"/>
      <c r="K268" s="6">
        <v>0</v>
      </c>
      <c r="L268" s="5"/>
    </row>
    <row r="269" spans="3:12" x14ac:dyDescent="0.25">
      <c r="C269" s="225"/>
      <c r="D269" s="197" t="s">
        <v>40</v>
      </c>
      <c r="E269" s="15" t="s">
        <v>169</v>
      </c>
      <c r="F269" s="201">
        <v>13990</v>
      </c>
      <c r="G269" s="6">
        <v>0</v>
      </c>
      <c r="H269" s="6">
        <v>0</v>
      </c>
      <c r="I269" s="6">
        <v>0</v>
      </c>
      <c r="J269" s="6"/>
      <c r="K269" s="6">
        <v>0</v>
      </c>
      <c r="L269" s="5"/>
    </row>
    <row r="270" spans="3:12" x14ac:dyDescent="0.25">
      <c r="C270" s="225"/>
      <c r="D270" s="197"/>
      <c r="E270" s="99"/>
      <c r="F270" s="6">
        <v>0</v>
      </c>
      <c r="G270" s="6">
        <v>0</v>
      </c>
      <c r="H270" s="6">
        <v>0</v>
      </c>
      <c r="I270" s="6">
        <v>0</v>
      </c>
      <c r="J270" s="6"/>
      <c r="K270" s="6">
        <v>0</v>
      </c>
      <c r="L270" s="5"/>
    </row>
    <row r="271" spans="3:12" x14ac:dyDescent="0.25">
      <c r="C271" s="225"/>
      <c r="D271" s="197"/>
      <c r="E271" s="99"/>
      <c r="F271" s="6">
        <v>0</v>
      </c>
      <c r="G271" s="6">
        <v>0</v>
      </c>
      <c r="H271" s="6">
        <v>0</v>
      </c>
      <c r="I271" s="6">
        <v>0</v>
      </c>
      <c r="J271" s="6"/>
      <c r="K271" s="6">
        <v>0</v>
      </c>
      <c r="L271" s="5"/>
    </row>
    <row r="272" spans="3:12" x14ac:dyDescent="0.25">
      <c r="C272" s="225"/>
      <c r="D272" s="197"/>
      <c r="E272" s="99"/>
      <c r="F272" s="6">
        <v>0</v>
      </c>
      <c r="G272" s="6">
        <v>0</v>
      </c>
      <c r="H272" s="6">
        <v>0</v>
      </c>
      <c r="I272" s="6">
        <v>0</v>
      </c>
      <c r="J272" s="6"/>
      <c r="K272" s="6">
        <v>0</v>
      </c>
      <c r="L272" s="5"/>
    </row>
    <row r="273" spans="3:12" x14ac:dyDescent="0.25">
      <c r="C273" s="225"/>
      <c r="D273" s="197"/>
      <c r="E273" s="99"/>
      <c r="F273" s="6">
        <v>0</v>
      </c>
      <c r="G273" s="6">
        <v>0</v>
      </c>
      <c r="H273" s="6">
        <v>0</v>
      </c>
      <c r="I273" s="6">
        <v>0</v>
      </c>
      <c r="J273" s="6"/>
      <c r="K273" s="6">
        <v>0</v>
      </c>
      <c r="L273" s="5"/>
    </row>
    <row r="274" spans="3:12" x14ac:dyDescent="0.25">
      <c r="C274" s="225"/>
      <c r="D274" s="197"/>
      <c r="E274" s="99"/>
      <c r="F274" s="6">
        <v>0</v>
      </c>
      <c r="G274" s="6">
        <v>0</v>
      </c>
      <c r="H274" s="6">
        <v>0</v>
      </c>
      <c r="I274" s="6">
        <v>0</v>
      </c>
      <c r="J274" s="6"/>
      <c r="K274" s="6">
        <v>0</v>
      </c>
      <c r="L274" s="5"/>
    </row>
    <row r="275" spans="3:12" x14ac:dyDescent="0.25">
      <c r="C275" s="225"/>
      <c r="D275" s="197"/>
      <c r="E275" s="99"/>
      <c r="F275" s="6">
        <v>0</v>
      </c>
      <c r="G275" s="6">
        <v>0</v>
      </c>
      <c r="H275" s="6">
        <v>0</v>
      </c>
      <c r="I275" s="6">
        <v>0</v>
      </c>
      <c r="J275" s="6"/>
      <c r="K275" s="6">
        <v>0</v>
      </c>
      <c r="L275" s="198">
        <f>SUM(G260)</f>
        <v>55000</v>
      </c>
    </row>
    <row r="276" spans="3:12" x14ac:dyDescent="0.25">
      <c r="C276" s="225"/>
      <c r="D276" s="197"/>
      <c r="E276" s="99"/>
      <c r="F276" s="6">
        <v>0</v>
      </c>
      <c r="G276" s="6">
        <v>0</v>
      </c>
      <c r="H276" s="6">
        <v>0</v>
      </c>
      <c r="I276" s="6">
        <v>0</v>
      </c>
      <c r="J276" s="6"/>
      <c r="K276" s="6">
        <v>0</v>
      </c>
      <c r="L276" s="108">
        <f>SUM(F262+F263+F264+F265+F266+G267+G268+F269)</f>
        <v>448010</v>
      </c>
    </row>
    <row r="277" spans="3:12" x14ac:dyDescent="0.25">
      <c r="C277" s="225"/>
      <c r="D277" s="197"/>
      <c r="E277" s="99"/>
      <c r="F277" s="6">
        <v>0</v>
      </c>
      <c r="G277" s="6">
        <v>0</v>
      </c>
      <c r="H277" s="6">
        <v>0</v>
      </c>
      <c r="I277" s="6">
        <v>0</v>
      </c>
      <c r="J277" s="6"/>
      <c r="K277" s="6">
        <v>0</v>
      </c>
      <c r="L277" s="5"/>
    </row>
    <row r="278" spans="3:12" x14ac:dyDescent="0.25">
      <c r="C278" s="101"/>
      <c r="D278" s="117"/>
      <c r="E278" s="102" t="s">
        <v>27</v>
      </c>
      <c r="F278" s="33">
        <f>F260+F261+F262+F263+F264+F268+F269+F270+F271+F272+F273+F274+F275+F276+F277+F265+F266</f>
        <v>338010</v>
      </c>
      <c r="G278" s="33">
        <f>SUM(G260:G277)</f>
        <v>165000</v>
      </c>
      <c r="H278" s="33">
        <f>SUM(H260:H277)</f>
        <v>0</v>
      </c>
      <c r="I278" s="33">
        <f>SUM(I260:I277)</f>
        <v>120000</v>
      </c>
      <c r="J278" s="33">
        <f>SUM(J260:J277)</f>
        <v>0</v>
      </c>
      <c r="K278" s="33">
        <f>SUM(F278:J278)-J278</f>
        <v>623010</v>
      </c>
      <c r="L278" s="16"/>
    </row>
    <row r="279" spans="3:12" x14ac:dyDescent="0.25">
      <c r="C279" s="224">
        <v>16</v>
      </c>
      <c r="D279" s="197" t="s">
        <v>34</v>
      </c>
      <c r="E279" s="15" t="s">
        <v>169</v>
      </c>
      <c r="F279" s="203">
        <v>10000</v>
      </c>
      <c r="G279" s="6">
        <v>0</v>
      </c>
      <c r="H279" s="6">
        <v>0</v>
      </c>
      <c r="I279" s="6">
        <v>0</v>
      </c>
      <c r="J279" s="6"/>
      <c r="K279" s="6">
        <v>0</v>
      </c>
      <c r="L279" s="5"/>
    </row>
    <row r="280" spans="3:12" x14ac:dyDescent="0.25">
      <c r="C280" s="225"/>
      <c r="D280" s="197" t="s">
        <v>119</v>
      </c>
      <c r="E280" s="15" t="s">
        <v>169</v>
      </c>
      <c r="F280" s="203">
        <v>33162</v>
      </c>
      <c r="G280" s="6">
        <v>0</v>
      </c>
      <c r="H280" s="6">
        <v>0</v>
      </c>
      <c r="I280" s="6">
        <v>0</v>
      </c>
      <c r="J280" s="6"/>
      <c r="K280" s="6">
        <v>0</v>
      </c>
      <c r="L280" s="5"/>
    </row>
    <row r="281" spans="3:12" x14ac:dyDescent="0.25">
      <c r="C281" s="225"/>
      <c r="D281" s="197" t="s">
        <v>24</v>
      </c>
      <c r="E281" s="15" t="s">
        <v>169</v>
      </c>
      <c r="F281" s="203">
        <v>144161</v>
      </c>
      <c r="G281" s="6">
        <v>0</v>
      </c>
      <c r="H281" s="6">
        <v>0</v>
      </c>
      <c r="I281" s="6">
        <v>0</v>
      </c>
      <c r="J281" s="6"/>
      <c r="K281" s="6">
        <v>0</v>
      </c>
      <c r="L281" s="5"/>
    </row>
    <row r="282" spans="3:12" x14ac:dyDescent="0.25">
      <c r="C282" s="225"/>
      <c r="D282" s="197" t="s">
        <v>101</v>
      </c>
      <c r="E282" s="15" t="s">
        <v>197</v>
      </c>
      <c r="F282" s="6">
        <v>0</v>
      </c>
      <c r="G282" s="6"/>
      <c r="H282" s="6">
        <v>0</v>
      </c>
      <c r="I282" s="203">
        <v>5000</v>
      </c>
      <c r="J282" s="6"/>
      <c r="K282" s="6">
        <v>0</v>
      </c>
      <c r="L282" s="5"/>
    </row>
    <row r="283" spans="3:12" x14ac:dyDescent="0.25">
      <c r="C283" s="225"/>
      <c r="D283" s="197" t="s">
        <v>145</v>
      </c>
      <c r="E283" s="15" t="s">
        <v>171</v>
      </c>
      <c r="F283" s="6">
        <v>0</v>
      </c>
      <c r="G283" s="203">
        <v>65000</v>
      </c>
      <c r="H283" s="6">
        <v>0</v>
      </c>
      <c r="I283" s="6">
        <v>0</v>
      </c>
      <c r="J283" s="6"/>
      <c r="K283" s="6">
        <v>0</v>
      </c>
      <c r="L283" s="5"/>
    </row>
    <row r="284" spans="3:12" x14ac:dyDescent="0.25">
      <c r="C284" s="225"/>
      <c r="D284" s="197" t="s">
        <v>22</v>
      </c>
      <c r="E284" s="99" t="s">
        <v>169</v>
      </c>
      <c r="F284" s="207">
        <v>154800</v>
      </c>
      <c r="G284" s="6">
        <v>0</v>
      </c>
      <c r="H284" s="6">
        <v>0</v>
      </c>
      <c r="I284" s="6">
        <v>0</v>
      </c>
      <c r="J284" s="6"/>
      <c r="K284" s="6">
        <v>0</v>
      </c>
      <c r="L284" s="5"/>
    </row>
    <row r="285" spans="3:12" x14ac:dyDescent="0.25">
      <c r="C285" s="225"/>
      <c r="D285" s="197" t="s">
        <v>127</v>
      </c>
      <c r="E285" s="99" t="s">
        <v>169</v>
      </c>
      <c r="F285" s="207">
        <v>43500</v>
      </c>
      <c r="G285" s="6">
        <v>0</v>
      </c>
      <c r="H285" s="6">
        <v>0</v>
      </c>
      <c r="I285" s="6">
        <v>0</v>
      </c>
      <c r="J285" s="6"/>
      <c r="K285" s="6">
        <v>0</v>
      </c>
      <c r="L285" s="5"/>
    </row>
    <row r="286" spans="3:12" x14ac:dyDescent="0.25">
      <c r="C286" s="225"/>
      <c r="D286" s="197" t="s">
        <v>19</v>
      </c>
      <c r="E286" s="99" t="s">
        <v>169</v>
      </c>
      <c r="F286" s="207">
        <v>68560</v>
      </c>
      <c r="G286" s="6">
        <v>0</v>
      </c>
      <c r="H286" s="6">
        <v>0</v>
      </c>
      <c r="I286" s="6">
        <v>0</v>
      </c>
      <c r="J286" s="6"/>
      <c r="K286" s="6">
        <v>0</v>
      </c>
      <c r="L286" s="5"/>
    </row>
    <row r="287" spans="3:12" x14ac:dyDescent="0.25">
      <c r="C287" s="225"/>
      <c r="D287" s="197" t="s">
        <v>106</v>
      </c>
      <c r="E287" s="99" t="s">
        <v>169</v>
      </c>
      <c r="F287" s="207">
        <v>23450</v>
      </c>
      <c r="G287" s="6">
        <v>0</v>
      </c>
      <c r="H287" s="6">
        <v>0</v>
      </c>
      <c r="I287" s="6">
        <v>0</v>
      </c>
      <c r="J287" s="6"/>
      <c r="K287" s="6">
        <v>0</v>
      </c>
      <c r="L287" s="5"/>
    </row>
    <row r="288" spans="3:12" x14ac:dyDescent="0.25">
      <c r="C288" s="225"/>
      <c r="D288" s="99" t="s">
        <v>198</v>
      </c>
      <c r="E288" s="99" t="s">
        <v>199</v>
      </c>
      <c r="F288" s="207">
        <v>16000</v>
      </c>
      <c r="G288" s="6">
        <v>0</v>
      </c>
      <c r="H288" s="6">
        <v>0</v>
      </c>
      <c r="I288" s="6">
        <v>0</v>
      </c>
      <c r="J288" s="6"/>
      <c r="K288" s="6">
        <v>0</v>
      </c>
      <c r="L288" s="5"/>
    </row>
    <row r="289" spans="3:12" x14ac:dyDescent="0.25">
      <c r="C289" s="225"/>
      <c r="D289" s="197" t="s">
        <v>15</v>
      </c>
      <c r="E289" s="99" t="s">
        <v>169</v>
      </c>
      <c r="F289" s="216">
        <v>52500</v>
      </c>
      <c r="G289" s="6">
        <v>0</v>
      </c>
      <c r="H289" s="6">
        <v>0</v>
      </c>
      <c r="I289" s="6">
        <v>0</v>
      </c>
      <c r="J289" s="6"/>
      <c r="K289" s="6">
        <v>0</v>
      </c>
      <c r="L289" s="5"/>
    </row>
    <row r="290" spans="3:12" x14ac:dyDescent="0.25">
      <c r="C290" s="225"/>
      <c r="D290" s="197" t="s">
        <v>40</v>
      </c>
      <c r="E290" s="99" t="s">
        <v>169</v>
      </c>
      <c r="F290" s="207">
        <v>15000</v>
      </c>
      <c r="G290" s="6">
        <v>0</v>
      </c>
      <c r="H290" s="6">
        <v>0</v>
      </c>
      <c r="I290" s="6">
        <v>0</v>
      </c>
      <c r="J290" s="6"/>
      <c r="K290" s="6">
        <v>0</v>
      </c>
      <c r="L290" s="5"/>
    </row>
    <row r="291" spans="3:12" x14ac:dyDescent="0.25">
      <c r="C291" s="225"/>
      <c r="D291" s="197" t="s">
        <v>154</v>
      </c>
      <c r="E291" s="99" t="s">
        <v>173</v>
      </c>
      <c r="F291" s="6">
        <v>0</v>
      </c>
      <c r="G291" s="216">
        <v>55000</v>
      </c>
      <c r="H291" s="6">
        <v>0</v>
      </c>
      <c r="I291" s="6">
        <v>0</v>
      </c>
      <c r="J291" s="6"/>
      <c r="K291" s="6">
        <v>0</v>
      </c>
      <c r="L291" s="5"/>
    </row>
    <row r="292" spans="3:12" x14ac:dyDescent="0.25">
      <c r="C292" s="225"/>
      <c r="D292" s="197" t="s">
        <v>37</v>
      </c>
      <c r="E292" s="99" t="s">
        <v>173</v>
      </c>
      <c r="F292" s="6">
        <v>0</v>
      </c>
      <c r="G292" s="216">
        <v>55000</v>
      </c>
      <c r="H292" s="6">
        <v>0</v>
      </c>
      <c r="I292" s="6">
        <v>0</v>
      </c>
      <c r="J292" s="6"/>
      <c r="K292" s="6">
        <v>0</v>
      </c>
      <c r="L292" s="5"/>
    </row>
    <row r="293" spans="3:12" x14ac:dyDescent="0.25">
      <c r="C293" s="225"/>
      <c r="D293" s="197" t="s">
        <v>127</v>
      </c>
      <c r="E293" s="99" t="s">
        <v>169</v>
      </c>
      <c r="F293" s="216">
        <v>138600</v>
      </c>
      <c r="G293" s="6">
        <v>0</v>
      </c>
      <c r="H293" s="6">
        <v>0</v>
      </c>
      <c r="I293" s="6">
        <v>0</v>
      </c>
      <c r="J293" s="6"/>
      <c r="K293" s="6">
        <v>0</v>
      </c>
      <c r="L293" s="206">
        <f>SUM(F279+F280+F281+I282+G283)</f>
        <v>257323</v>
      </c>
    </row>
    <row r="294" spans="3:12" x14ac:dyDescent="0.25">
      <c r="C294" s="225"/>
      <c r="D294" s="197"/>
      <c r="E294" s="99"/>
      <c r="F294" s="6">
        <v>0</v>
      </c>
      <c r="G294" s="6">
        <v>0</v>
      </c>
      <c r="H294" s="6">
        <v>0</v>
      </c>
      <c r="I294" s="6">
        <v>0</v>
      </c>
      <c r="J294" s="6"/>
      <c r="K294" s="6">
        <v>0</v>
      </c>
      <c r="L294" s="208">
        <f>SUM(F284)+F285+F286+F287+F288+F290</f>
        <v>321310</v>
      </c>
    </row>
    <row r="295" spans="3:12" x14ac:dyDescent="0.25">
      <c r="C295" s="225"/>
      <c r="D295" s="197"/>
      <c r="E295" s="99"/>
      <c r="F295" s="6">
        <v>0</v>
      </c>
      <c r="G295" s="6">
        <v>0</v>
      </c>
      <c r="H295" s="6">
        <v>0</v>
      </c>
      <c r="I295" s="6">
        <v>0</v>
      </c>
      <c r="J295" s="6"/>
      <c r="K295" s="6">
        <v>0</v>
      </c>
      <c r="L295" s="218">
        <f>SUM(F289)+G291+G292+F293</f>
        <v>301100</v>
      </c>
    </row>
    <row r="296" spans="3:12" x14ac:dyDescent="0.25">
      <c r="C296" s="101"/>
      <c r="D296" s="117"/>
      <c r="E296" s="102" t="s">
        <v>27</v>
      </c>
      <c r="F296" s="33">
        <f>SUM(F279:F295)</f>
        <v>699733</v>
      </c>
      <c r="G296" s="33">
        <f>SUM(G279:G295)</f>
        <v>175000</v>
      </c>
      <c r="H296" s="33">
        <f>SUM(H279:H295)</f>
        <v>0</v>
      </c>
      <c r="I296" s="33">
        <f>SUM(I279:I295)</f>
        <v>5000</v>
      </c>
      <c r="J296" s="33">
        <f>SUM(J279:J295)</f>
        <v>0</v>
      </c>
      <c r="K296" s="33">
        <f>SUM(F296:J296)-J296</f>
        <v>879733</v>
      </c>
      <c r="L296" s="16"/>
    </row>
    <row r="297" spans="3:12" x14ac:dyDescent="0.25">
      <c r="C297" s="224">
        <v>17</v>
      </c>
      <c r="D297" s="197" t="s">
        <v>22</v>
      </c>
      <c r="E297" s="99" t="s">
        <v>169</v>
      </c>
      <c r="F297" s="200">
        <v>43800</v>
      </c>
      <c r="G297" s="6">
        <v>0</v>
      </c>
      <c r="H297" s="6">
        <v>0</v>
      </c>
      <c r="I297" s="6">
        <v>0</v>
      </c>
      <c r="J297" s="6"/>
      <c r="K297" s="6">
        <v>0</v>
      </c>
      <c r="L297" s="5"/>
    </row>
    <row r="298" spans="3:12" x14ac:dyDescent="0.25">
      <c r="C298" s="225"/>
      <c r="D298" s="197" t="s">
        <v>109</v>
      </c>
      <c r="E298" s="99" t="s">
        <v>200</v>
      </c>
      <c r="F298" s="6">
        <v>0</v>
      </c>
      <c r="G298" s="6">
        <v>0</v>
      </c>
      <c r="H298" s="6">
        <v>0</v>
      </c>
      <c r="I298" s="200">
        <v>29459</v>
      </c>
      <c r="J298" s="6"/>
      <c r="K298" s="6">
        <v>0</v>
      </c>
      <c r="L298" s="5"/>
    </row>
    <row r="299" spans="3:12" x14ac:dyDescent="0.25">
      <c r="C299" s="225"/>
      <c r="D299" s="197" t="s">
        <v>35</v>
      </c>
      <c r="E299" s="99" t="s">
        <v>200</v>
      </c>
      <c r="F299" s="6">
        <v>0</v>
      </c>
      <c r="G299" s="6">
        <v>0</v>
      </c>
      <c r="H299" s="6">
        <v>0</v>
      </c>
      <c r="I299" s="216">
        <v>90000</v>
      </c>
      <c r="J299" s="6"/>
      <c r="K299" s="6">
        <v>0</v>
      </c>
      <c r="L299" s="5"/>
    </row>
    <row r="300" spans="3:12" x14ac:dyDescent="0.25">
      <c r="C300" s="225"/>
      <c r="D300" s="197" t="s">
        <v>34</v>
      </c>
      <c r="E300" s="99" t="s">
        <v>169</v>
      </c>
      <c r="F300" s="200">
        <v>10000</v>
      </c>
      <c r="G300" s="6">
        <v>0</v>
      </c>
      <c r="H300" s="6">
        <v>0</v>
      </c>
      <c r="I300" s="6">
        <v>0</v>
      </c>
      <c r="J300" s="6"/>
      <c r="K300" s="6">
        <v>0</v>
      </c>
      <c r="L300" s="5"/>
    </row>
    <row r="301" spans="3:12" x14ac:dyDescent="0.25">
      <c r="C301" s="225"/>
      <c r="D301" s="197" t="s">
        <v>37</v>
      </c>
      <c r="E301" s="99" t="s">
        <v>171</v>
      </c>
      <c r="F301" s="6">
        <v>0</v>
      </c>
      <c r="G301" s="200">
        <v>50000</v>
      </c>
      <c r="H301" s="6">
        <v>0</v>
      </c>
      <c r="I301" s="6">
        <v>0</v>
      </c>
      <c r="J301" s="6"/>
      <c r="K301" s="6">
        <v>0</v>
      </c>
      <c r="L301" s="5"/>
    </row>
    <row r="302" spans="3:12" x14ac:dyDescent="0.25">
      <c r="C302" s="225"/>
      <c r="D302" s="197" t="s">
        <v>40</v>
      </c>
      <c r="E302" s="99" t="s">
        <v>197</v>
      </c>
      <c r="G302" s="6">
        <v>0</v>
      </c>
      <c r="H302" s="6">
        <v>0</v>
      </c>
      <c r="I302" s="200">
        <v>13100</v>
      </c>
      <c r="J302" s="6"/>
      <c r="K302" s="6">
        <v>0</v>
      </c>
      <c r="L302" s="5"/>
    </row>
    <row r="303" spans="3:12" x14ac:dyDescent="0.25">
      <c r="C303" s="225"/>
      <c r="D303" s="197" t="s">
        <v>148</v>
      </c>
      <c r="E303" s="15" t="s">
        <v>169</v>
      </c>
      <c r="F303" s="201">
        <v>80500</v>
      </c>
      <c r="G303" s="6">
        <v>0</v>
      </c>
      <c r="H303" s="6">
        <v>0</v>
      </c>
      <c r="I303" s="6">
        <v>0</v>
      </c>
      <c r="J303" s="6"/>
      <c r="K303" s="6">
        <v>0</v>
      </c>
      <c r="L303" s="5"/>
    </row>
    <row r="304" spans="3:12" x14ac:dyDescent="0.25">
      <c r="C304" s="225"/>
      <c r="D304" s="197" t="s">
        <v>45</v>
      </c>
      <c r="E304" s="15" t="s">
        <v>172</v>
      </c>
      <c r="F304" s="6">
        <v>0</v>
      </c>
      <c r="G304" s="6">
        <v>0</v>
      </c>
      <c r="H304" s="6">
        <v>0</v>
      </c>
      <c r="I304" s="201">
        <v>5000</v>
      </c>
      <c r="J304" s="6"/>
      <c r="K304" s="6">
        <v>0</v>
      </c>
      <c r="L304" s="5"/>
    </row>
    <row r="305" spans="3:12" x14ac:dyDescent="0.25">
      <c r="C305" s="225"/>
      <c r="D305" s="197" t="s">
        <v>40</v>
      </c>
      <c r="E305" s="15" t="s">
        <v>169</v>
      </c>
      <c r="F305" s="201">
        <v>16770</v>
      </c>
      <c r="G305" s="6">
        <v>0</v>
      </c>
      <c r="H305" s="6">
        <v>0</v>
      </c>
      <c r="I305" s="6">
        <v>0</v>
      </c>
      <c r="J305" s="6"/>
      <c r="K305" s="6">
        <v>0</v>
      </c>
      <c r="L305" s="5"/>
    </row>
    <row r="306" spans="3:12" x14ac:dyDescent="0.25">
      <c r="C306" s="225"/>
      <c r="D306" s="197" t="s">
        <v>40</v>
      </c>
      <c r="E306" s="15" t="s">
        <v>169</v>
      </c>
      <c r="F306" s="201">
        <v>9000</v>
      </c>
      <c r="G306" s="6">
        <v>0</v>
      </c>
      <c r="H306" s="6">
        <v>0</v>
      </c>
      <c r="I306" s="6">
        <v>0</v>
      </c>
      <c r="J306" s="6"/>
      <c r="K306" s="6">
        <v>0</v>
      </c>
      <c r="L306" s="5"/>
    </row>
    <row r="307" spans="3:12" x14ac:dyDescent="0.25">
      <c r="C307" s="225"/>
      <c r="D307" s="197" t="s">
        <v>154</v>
      </c>
      <c r="E307" s="99" t="s">
        <v>173</v>
      </c>
      <c r="F307" s="6">
        <v>0</v>
      </c>
      <c r="G307" s="201">
        <v>50000</v>
      </c>
      <c r="H307" s="6">
        <v>0</v>
      </c>
      <c r="I307" s="6">
        <v>0</v>
      </c>
      <c r="J307" s="6"/>
      <c r="K307" s="6">
        <v>0</v>
      </c>
      <c r="L307" s="5"/>
    </row>
    <row r="308" spans="3:12" x14ac:dyDescent="0.25">
      <c r="C308" s="225"/>
      <c r="D308" s="197" t="s">
        <v>44</v>
      </c>
      <c r="E308" s="99" t="s">
        <v>173</v>
      </c>
      <c r="F308" s="6">
        <v>0</v>
      </c>
      <c r="G308" s="201">
        <v>50000</v>
      </c>
      <c r="H308" s="6">
        <v>0</v>
      </c>
      <c r="I308" s="6">
        <v>0</v>
      </c>
      <c r="J308" s="6"/>
      <c r="K308" s="6">
        <v>0</v>
      </c>
      <c r="L308" s="5"/>
    </row>
    <row r="309" spans="3:12" x14ac:dyDescent="0.25">
      <c r="C309" s="225"/>
      <c r="D309" s="197"/>
      <c r="E309" s="99"/>
      <c r="F309" s="6">
        <v>0</v>
      </c>
      <c r="G309" s="6">
        <v>0</v>
      </c>
      <c r="H309" s="6">
        <v>0</v>
      </c>
      <c r="I309" s="6">
        <v>0</v>
      </c>
      <c r="J309" s="6"/>
      <c r="K309" s="6">
        <v>0</v>
      </c>
      <c r="L309" s="5"/>
    </row>
    <row r="310" spans="3:12" x14ac:dyDescent="0.25">
      <c r="C310" s="225"/>
      <c r="D310" s="197"/>
      <c r="E310" s="99"/>
      <c r="F310" s="6">
        <v>0</v>
      </c>
      <c r="G310" s="6">
        <v>0</v>
      </c>
      <c r="H310" s="6">
        <v>0</v>
      </c>
      <c r="I310" s="6">
        <v>0</v>
      </c>
      <c r="J310" s="6"/>
      <c r="K310" s="6">
        <v>0</v>
      </c>
      <c r="L310" s="5"/>
    </row>
    <row r="311" spans="3:12" x14ac:dyDescent="0.25">
      <c r="C311" s="225"/>
      <c r="D311" s="197"/>
      <c r="E311" s="99"/>
      <c r="F311" s="6">
        <v>0</v>
      </c>
      <c r="G311" s="6">
        <v>0</v>
      </c>
      <c r="H311" s="6">
        <v>0</v>
      </c>
      <c r="I311" s="6">
        <v>0</v>
      </c>
      <c r="J311" s="6"/>
      <c r="K311" s="6">
        <v>0</v>
      </c>
      <c r="L311" s="5"/>
    </row>
    <row r="312" spans="3:12" x14ac:dyDescent="0.25">
      <c r="C312" s="225"/>
      <c r="D312" s="197"/>
      <c r="E312" s="99"/>
      <c r="F312" s="6">
        <v>0</v>
      </c>
      <c r="G312" s="6">
        <v>0</v>
      </c>
      <c r="H312" s="6">
        <v>0</v>
      </c>
      <c r="I312" s="6">
        <v>0</v>
      </c>
      <c r="J312" s="6"/>
      <c r="K312" s="6">
        <v>0</v>
      </c>
      <c r="L312" s="198">
        <f>SUM(F297)+I298+F300+G301+I302</f>
        <v>146359</v>
      </c>
    </row>
    <row r="313" spans="3:12" x14ac:dyDescent="0.25">
      <c r="C313" s="225"/>
      <c r="D313" s="197"/>
      <c r="E313" s="99"/>
      <c r="F313" s="6">
        <v>0</v>
      </c>
      <c r="G313" s="6">
        <v>0</v>
      </c>
      <c r="H313" s="6">
        <v>0</v>
      </c>
      <c r="I313" s="6">
        <v>0</v>
      </c>
      <c r="J313" s="6"/>
      <c r="K313" s="6">
        <v>0</v>
      </c>
      <c r="L313" s="202">
        <f>SUM(F305:F306)+F303+I304+G307+G308</f>
        <v>211270</v>
      </c>
    </row>
    <row r="314" spans="3:12" x14ac:dyDescent="0.25">
      <c r="C314" s="225"/>
      <c r="D314" s="197"/>
      <c r="E314" s="99"/>
      <c r="F314" s="6">
        <v>0</v>
      </c>
      <c r="G314" s="6">
        <v>0</v>
      </c>
      <c r="H314" s="6">
        <v>0</v>
      </c>
      <c r="I314" s="6">
        <v>0</v>
      </c>
      <c r="J314" s="6"/>
      <c r="K314" s="6">
        <v>0</v>
      </c>
      <c r="L314" s="108">
        <f>L312+L313</f>
        <v>357629</v>
      </c>
    </row>
    <row r="315" spans="3:12" x14ac:dyDescent="0.25">
      <c r="C315" s="101"/>
      <c r="D315" s="117"/>
      <c r="E315" s="102" t="s">
        <v>27</v>
      </c>
      <c r="F315" s="33">
        <f>SUM(F297:F314)</f>
        <v>160070</v>
      </c>
      <c r="G315" s="33">
        <f>SUM(G297:G314)</f>
        <v>150000</v>
      </c>
      <c r="H315" s="33">
        <f>SUM(H297:H314)</f>
        <v>0</v>
      </c>
      <c r="I315" s="33">
        <f>SUM(I297:I314)</f>
        <v>137559</v>
      </c>
      <c r="J315" s="33">
        <f>SUM(J297:J314)</f>
        <v>0</v>
      </c>
      <c r="K315" s="33">
        <f>SUM(F315:J315)-J315</f>
        <v>447629</v>
      </c>
      <c r="L315" s="16"/>
    </row>
    <row r="316" spans="3:12" x14ac:dyDescent="0.25">
      <c r="C316" s="224">
        <v>18</v>
      </c>
      <c r="D316" s="197" t="s">
        <v>34</v>
      </c>
      <c r="E316" s="99" t="s">
        <v>169</v>
      </c>
      <c r="F316" s="200">
        <v>10000</v>
      </c>
      <c r="G316" s="6">
        <v>0</v>
      </c>
      <c r="H316" s="6">
        <v>0</v>
      </c>
      <c r="I316" s="6">
        <v>0</v>
      </c>
      <c r="J316" s="6"/>
      <c r="K316" s="6">
        <v>0</v>
      </c>
      <c r="L316" s="5"/>
    </row>
    <row r="317" spans="3:12" x14ac:dyDescent="0.25">
      <c r="C317" s="225"/>
      <c r="D317" s="197" t="s">
        <v>127</v>
      </c>
      <c r="E317" s="99" t="s">
        <v>169</v>
      </c>
      <c r="F317" s="200">
        <v>50400</v>
      </c>
      <c r="G317" s="6">
        <v>0</v>
      </c>
      <c r="H317" s="6">
        <v>0</v>
      </c>
      <c r="I317" s="6">
        <v>0</v>
      </c>
      <c r="J317" s="6"/>
      <c r="K317" s="6">
        <v>0</v>
      </c>
      <c r="L317" s="5"/>
    </row>
    <row r="318" spans="3:12" x14ac:dyDescent="0.25">
      <c r="C318" s="225"/>
      <c r="D318" s="99" t="s">
        <v>202</v>
      </c>
      <c r="E318" s="99" t="s">
        <v>201</v>
      </c>
      <c r="F318" s="200">
        <v>67500</v>
      </c>
      <c r="G318" s="6">
        <v>0</v>
      </c>
      <c r="H318" s="6">
        <v>0</v>
      </c>
      <c r="I318" s="6">
        <v>0</v>
      </c>
      <c r="J318" s="6"/>
      <c r="K318" s="6">
        <v>0</v>
      </c>
      <c r="L318" s="5"/>
    </row>
    <row r="319" spans="3:12" x14ac:dyDescent="0.25">
      <c r="C319" s="225"/>
      <c r="D319" s="197" t="s">
        <v>123</v>
      </c>
      <c r="E319" s="99" t="s">
        <v>203</v>
      </c>
      <c r="F319" s="200">
        <v>32500</v>
      </c>
      <c r="G319" s="6">
        <v>0</v>
      </c>
      <c r="H319" s="6">
        <v>0</v>
      </c>
      <c r="I319" s="6">
        <v>0</v>
      </c>
      <c r="J319" s="6"/>
      <c r="K319" s="6">
        <v>0</v>
      </c>
      <c r="L319" s="5"/>
    </row>
    <row r="320" spans="3:12" x14ac:dyDescent="0.25">
      <c r="C320" s="225"/>
      <c r="D320" s="197" t="s">
        <v>37</v>
      </c>
      <c r="E320" s="99" t="s">
        <v>171</v>
      </c>
      <c r="F320" s="6">
        <v>0</v>
      </c>
      <c r="G320" s="200">
        <v>50000</v>
      </c>
      <c r="H320" s="6">
        <v>0</v>
      </c>
      <c r="I320" s="6">
        <v>0</v>
      </c>
      <c r="J320" s="6"/>
      <c r="K320" s="6">
        <v>0</v>
      </c>
      <c r="L320" s="5"/>
    </row>
    <row r="321" spans="3:12" x14ac:dyDescent="0.25">
      <c r="C321" s="225"/>
      <c r="D321" s="197" t="s">
        <v>19</v>
      </c>
      <c r="E321" s="99" t="s">
        <v>169</v>
      </c>
      <c r="F321" s="201">
        <v>34150</v>
      </c>
      <c r="G321" s="6">
        <v>0</v>
      </c>
      <c r="H321" s="6">
        <v>0</v>
      </c>
      <c r="I321" s="6">
        <v>0</v>
      </c>
      <c r="J321" s="6"/>
      <c r="K321" s="6">
        <v>0</v>
      </c>
      <c r="L321" s="5"/>
    </row>
    <row r="322" spans="3:12" x14ac:dyDescent="0.25">
      <c r="C322" s="225"/>
      <c r="D322" s="197" t="s">
        <v>44</v>
      </c>
      <c r="E322" s="99" t="s">
        <v>173</v>
      </c>
      <c r="F322" s="6">
        <v>0</v>
      </c>
      <c r="G322" s="201">
        <v>55000</v>
      </c>
      <c r="H322" s="6">
        <v>0</v>
      </c>
      <c r="I322" s="6">
        <v>0</v>
      </c>
      <c r="J322" s="6"/>
      <c r="K322" s="6">
        <v>0</v>
      </c>
      <c r="L322" s="5"/>
    </row>
    <row r="323" spans="3:12" x14ac:dyDescent="0.25">
      <c r="C323" s="225"/>
      <c r="D323" s="197" t="s">
        <v>145</v>
      </c>
      <c r="E323" s="99" t="s">
        <v>173</v>
      </c>
      <c r="F323" s="6">
        <v>0</v>
      </c>
      <c r="G323" s="201">
        <v>55000</v>
      </c>
      <c r="H323" s="6">
        <v>0</v>
      </c>
      <c r="I323" s="6">
        <v>0</v>
      </c>
      <c r="J323" s="6"/>
      <c r="K323" s="6">
        <v>0</v>
      </c>
      <c r="L323" s="5"/>
    </row>
    <row r="324" spans="3:12" x14ac:dyDescent="0.25">
      <c r="C324" s="225"/>
      <c r="D324" s="197"/>
      <c r="E324" s="99"/>
      <c r="F324" s="6">
        <v>0</v>
      </c>
      <c r="G324" s="6">
        <v>0</v>
      </c>
      <c r="H324" s="6">
        <v>0</v>
      </c>
      <c r="I324" s="6">
        <v>0</v>
      </c>
      <c r="J324" s="6"/>
      <c r="K324" s="6">
        <v>0</v>
      </c>
      <c r="L324" s="5"/>
    </row>
    <row r="325" spans="3:12" x14ac:dyDescent="0.25">
      <c r="C325" s="225"/>
      <c r="D325" s="197"/>
      <c r="E325" s="99"/>
      <c r="F325" s="6">
        <v>0</v>
      </c>
      <c r="G325" s="6">
        <v>0</v>
      </c>
      <c r="H325" s="6">
        <v>0</v>
      </c>
      <c r="I325" s="6">
        <v>0</v>
      </c>
      <c r="J325" s="6"/>
      <c r="K325" s="6">
        <v>0</v>
      </c>
      <c r="L325" s="5"/>
    </row>
    <row r="326" spans="3:12" x14ac:dyDescent="0.25">
      <c r="C326" s="225"/>
      <c r="D326" s="197"/>
      <c r="E326" s="99"/>
      <c r="F326" s="6">
        <v>0</v>
      </c>
      <c r="G326" s="6">
        <v>0</v>
      </c>
      <c r="H326" s="6">
        <v>0</v>
      </c>
      <c r="I326" s="6">
        <v>0</v>
      </c>
      <c r="J326" s="6"/>
      <c r="K326" s="6">
        <v>0</v>
      </c>
      <c r="L326" s="5"/>
    </row>
    <row r="327" spans="3:12" x14ac:dyDescent="0.25">
      <c r="C327" s="225"/>
      <c r="D327" s="197"/>
      <c r="E327" s="99"/>
      <c r="F327" s="6">
        <v>0</v>
      </c>
      <c r="G327" s="6">
        <v>0</v>
      </c>
      <c r="H327" s="6">
        <v>0</v>
      </c>
      <c r="I327" s="6">
        <v>0</v>
      </c>
      <c r="J327" s="6"/>
      <c r="K327" s="6">
        <v>0</v>
      </c>
      <c r="L327" s="5"/>
    </row>
    <row r="328" spans="3:12" x14ac:dyDescent="0.25">
      <c r="C328" s="225"/>
      <c r="D328" s="197"/>
      <c r="E328" s="99"/>
      <c r="F328" s="6">
        <v>0</v>
      </c>
      <c r="G328" s="6">
        <v>0</v>
      </c>
      <c r="H328" s="6">
        <v>0</v>
      </c>
      <c r="I328" s="6">
        <v>0</v>
      </c>
      <c r="J328" s="6"/>
      <c r="K328" s="6">
        <v>0</v>
      </c>
      <c r="L328" s="5"/>
    </row>
    <row r="329" spans="3:12" x14ac:dyDescent="0.25">
      <c r="C329" s="225"/>
      <c r="D329" s="197"/>
      <c r="E329" s="99"/>
      <c r="F329" s="6">
        <v>0</v>
      </c>
      <c r="G329" s="6">
        <v>0</v>
      </c>
      <c r="H329" s="6">
        <v>0</v>
      </c>
      <c r="I329" s="6">
        <v>0</v>
      </c>
      <c r="J329" s="6"/>
      <c r="K329" s="6">
        <v>0</v>
      </c>
      <c r="L329" s="5"/>
    </row>
    <row r="330" spans="3:12" x14ac:dyDescent="0.25">
      <c r="C330" s="225"/>
      <c r="D330" s="197"/>
      <c r="E330" s="99"/>
      <c r="F330" s="6">
        <v>0</v>
      </c>
      <c r="G330" s="6">
        <v>0</v>
      </c>
      <c r="H330" s="6">
        <v>0</v>
      </c>
      <c r="I330" s="6">
        <v>0</v>
      </c>
      <c r="J330" s="6"/>
      <c r="K330" s="6">
        <v>0</v>
      </c>
      <c r="L330" s="198">
        <f>SUM(F316:G320)</f>
        <v>210400</v>
      </c>
    </row>
    <row r="331" spans="3:12" x14ac:dyDescent="0.25">
      <c r="C331" s="225"/>
      <c r="D331" s="197"/>
      <c r="E331" s="99"/>
      <c r="F331" s="6">
        <v>0</v>
      </c>
      <c r="G331" s="6">
        <v>0</v>
      </c>
      <c r="H331" s="6">
        <v>0</v>
      </c>
      <c r="I331" s="6">
        <v>0</v>
      </c>
      <c r="J331" s="6"/>
      <c r="K331" s="6">
        <v>0</v>
      </c>
      <c r="L331" s="202">
        <f>SUM(F321+G322+G323)</f>
        <v>144150</v>
      </c>
    </row>
    <row r="332" spans="3:12" x14ac:dyDescent="0.25">
      <c r="C332" s="101"/>
      <c r="D332" s="117"/>
      <c r="E332" s="102" t="s">
        <v>27</v>
      </c>
      <c r="F332" s="33">
        <f>SUM(F316:F331)</f>
        <v>194550</v>
      </c>
      <c r="G332" s="33">
        <f>SUM(G316:G331)</f>
        <v>160000</v>
      </c>
      <c r="H332" s="33">
        <f>SUM(H316:H331)</f>
        <v>0</v>
      </c>
      <c r="I332" s="33">
        <f>SUM(I316:I331)</f>
        <v>0</v>
      </c>
      <c r="J332" s="33">
        <f>SUM(J316:J331)</f>
        <v>0</v>
      </c>
      <c r="K332" s="33">
        <f>SUM(F332:J332)-J332</f>
        <v>354550</v>
      </c>
      <c r="L332" s="16"/>
    </row>
    <row r="333" spans="3:12" x14ac:dyDescent="0.25">
      <c r="C333" s="224">
        <v>19</v>
      </c>
      <c r="D333" s="5" t="s">
        <v>206</v>
      </c>
      <c r="E333" s="15" t="s">
        <v>205</v>
      </c>
      <c r="F333" s="6">
        <v>0</v>
      </c>
      <c r="G333" s="6">
        <v>0</v>
      </c>
      <c r="H333" s="6">
        <v>0</v>
      </c>
      <c r="I333" s="204">
        <v>26000</v>
      </c>
      <c r="J333" s="6"/>
      <c r="K333" s="6">
        <v>0</v>
      </c>
      <c r="L333" s="5"/>
    </row>
    <row r="334" spans="3:12" x14ac:dyDescent="0.25">
      <c r="C334" s="225"/>
      <c r="D334" s="197" t="s">
        <v>24</v>
      </c>
      <c r="E334" s="99" t="s">
        <v>169</v>
      </c>
      <c r="F334" s="200">
        <v>390663</v>
      </c>
      <c r="G334" s="6">
        <v>0</v>
      </c>
      <c r="H334" s="6">
        <v>0</v>
      </c>
      <c r="I334" s="6">
        <v>0</v>
      </c>
      <c r="J334" s="6"/>
      <c r="K334" s="6">
        <v>0</v>
      </c>
      <c r="L334" s="5"/>
    </row>
    <row r="335" spans="3:12" x14ac:dyDescent="0.25">
      <c r="C335" s="225"/>
      <c r="D335" s="197" t="s">
        <v>139</v>
      </c>
      <c r="E335" s="99" t="s">
        <v>169</v>
      </c>
      <c r="F335" s="200">
        <v>10000</v>
      </c>
      <c r="G335" s="6">
        <v>0</v>
      </c>
      <c r="H335" s="6">
        <v>0</v>
      </c>
      <c r="I335" s="6">
        <v>0</v>
      </c>
      <c r="J335" s="6"/>
      <c r="K335" s="6">
        <v>0</v>
      </c>
      <c r="L335" s="5"/>
    </row>
    <row r="336" spans="3:12" x14ac:dyDescent="0.25">
      <c r="C336" s="225"/>
      <c r="D336" s="197" t="s">
        <v>34</v>
      </c>
      <c r="E336" s="99" t="s">
        <v>169</v>
      </c>
      <c r="F336" s="200">
        <v>10000</v>
      </c>
      <c r="G336" s="6">
        <v>0</v>
      </c>
      <c r="H336" s="6">
        <v>0</v>
      </c>
      <c r="I336" s="6">
        <v>0</v>
      </c>
      <c r="J336" s="6"/>
      <c r="K336" s="6">
        <v>0</v>
      </c>
      <c r="L336" s="5"/>
    </row>
    <row r="337" spans="3:12" x14ac:dyDescent="0.25">
      <c r="C337" s="225"/>
      <c r="D337" s="197" t="s">
        <v>119</v>
      </c>
      <c r="E337" s="99" t="s">
        <v>169</v>
      </c>
      <c r="F337" s="200">
        <v>66324</v>
      </c>
      <c r="G337" s="6">
        <v>0</v>
      </c>
      <c r="H337" s="6">
        <v>0</v>
      </c>
      <c r="I337" s="6">
        <v>0</v>
      </c>
      <c r="J337" s="6"/>
      <c r="K337" s="6">
        <v>0</v>
      </c>
      <c r="L337" s="5"/>
    </row>
    <row r="338" spans="3:12" x14ac:dyDescent="0.25">
      <c r="C338" s="225"/>
      <c r="D338" s="197" t="s">
        <v>44</v>
      </c>
      <c r="E338" s="99" t="s">
        <v>171</v>
      </c>
      <c r="F338" s="6">
        <v>0</v>
      </c>
      <c r="G338" s="200">
        <v>55000</v>
      </c>
      <c r="H338" s="6">
        <v>0</v>
      </c>
      <c r="I338" s="6">
        <v>0</v>
      </c>
      <c r="J338" s="6"/>
      <c r="K338" s="6">
        <v>0</v>
      </c>
      <c r="L338" s="5"/>
    </row>
    <row r="339" spans="3:12" x14ac:dyDescent="0.25">
      <c r="C339" s="225"/>
      <c r="D339" s="197" t="s">
        <v>40</v>
      </c>
      <c r="E339" s="99" t="s">
        <v>169</v>
      </c>
      <c r="F339" s="204">
        <v>39830</v>
      </c>
      <c r="G339" s="6">
        <v>0</v>
      </c>
      <c r="H339" s="6">
        <v>0</v>
      </c>
      <c r="I339" s="6">
        <v>0</v>
      </c>
      <c r="J339" s="6"/>
      <c r="K339" s="6">
        <v>0</v>
      </c>
      <c r="L339" s="5"/>
    </row>
    <row r="340" spans="3:12" x14ac:dyDescent="0.25">
      <c r="C340" s="225"/>
      <c r="D340" s="197" t="s">
        <v>19</v>
      </c>
      <c r="E340" s="99" t="s">
        <v>169</v>
      </c>
      <c r="F340" s="204">
        <v>24505</v>
      </c>
      <c r="G340" s="6">
        <v>0</v>
      </c>
      <c r="H340" s="6">
        <v>0</v>
      </c>
      <c r="I340" s="6">
        <v>0</v>
      </c>
      <c r="J340" s="6"/>
      <c r="K340" s="6">
        <v>0</v>
      </c>
      <c r="L340" s="5"/>
    </row>
    <row r="341" spans="3:12" x14ac:dyDescent="0.25">
      <c r="C341" s="225"/>
      <c r="D341" s="197" t="s">
        <v>106</v>
      </c>
      <c r="E341" s="99" t="s">
        <v>169</v>
      </c>
      <c r="F341" s="204">
        <v>19850</v>
      </c>
      <c r="G341" s="6">
        <v>0</v>
      </c>
      <c r="H341" s="6">
        <v>0</v>
      </c>
      <c r="I341" s="6">
        <v>0</v>
      </c>
      <c r="J341" s="6"/>
      <c r="K341" s="6">
        <v>0</v>
      </c>
      <c r="L341" s="5"/>
    </row>
    <row r="342" spans="3:12" x14ac:dyDescent="0.25">
      <c r="C342" s="225"/>
      <c r="D342" s="197" t="s">
        <v>22</v>
      </c>
      <c r="E342" s="99" t="s">
        <v>169</v>
      </c>
      <c r="F342" s="204">
        <v>84100</v>
      </c>
      <c r="G342" s="6">
        <v>0</v>
      </c>
      <c r="H342" s="6">
        <v>0</v>
      </c>
      <c r="I342" s="6">
        <v>0</v>
      </c>
      <c r="J342" s="6"/>
      <c r="K342" s="6">
        <v>0</v>
      </c>
      <c r="L342" s="5"/>
    </row>
    <row r="343" spans="3:12" x14ac:dyDescent="0.25">
      <c r="C343" s="225"/>
      <c r="D343" s="197" t="s">
        <v>148</v>
      </c>
      <c r="E343" s="99" t="s">
        <v>169</v>
      </c>
      <c r="F343" s="204">
        <v>127300</v>
      </c>
      <c r="G343" s="6">
        <v>0</v>
      </c>
      <c r="H343" s="6">
        <v>0</v>
      </c>
      <c r="I343" s="6">
        <v>0</v>
      </c>
      <c r="J343" s="6"/>
      <c r="K343" s="6">
        <v>0</v>
      </c>
      <c r="L343" s="5"/>
    </row>
    <row r="344" spans="3:12" x14ac:dyDescent="0.25">
      <c r="C344" s="225"/>
      <c r="D344" s="197" t="s">
        <v>37</v>
      </c>
      <c r="E344" s="99" t="s">
        <v>173</v>
      </c>
      <c r="F344" s="6">
        <v>0</v>
      </c>
      <c r="G344" s="204">
        <v>50000</v>
      </c>
      <c r="H344" s="6">
        <v>0</v>
      </c>
      <c r="I344" s="6">
        <v>0</v>
      </c>
      <c r="J344" s="6"/>
      <c r="K344" s="6">
        <v>0</v>
      </c>
      <c r="L344" s="5"/>
    </row>
    <row r="345" spans="3:12" x14ac:dyDescent="0.25">
      <c r="C345" s="225"/>
      <c r="D345" s="197" t="s">
        <v>145</v>
      </c>
      <c r="E345" s="99" t="s">
        <v>173</v>
      </c>
      <c r="F345" s="6">
        <v>0</v>
      </c>
      <c r="G345" s="204">
        <v>50000</v>
      </c>
      <c r="H345" s="6">
        <v>0</v>
      </c>
      <c r="I345" s="6">
        <v>0</v>
      </c>
      <c r="J345" s="6"/>
      <c r="K345" s="6">
        <v>0</v>
      </c>
      <c r="L345" s="5"/>
    </row>
    <row r="346" spans="3:12" x14ac:dyDescent="0.25">
      <c r="C346" s="225"/>
      <c r="D346" s="197"/>
      <c r="E346" s="99"/>
      <c r="F346" s="6">
        <v>0</v>
      </c>
      <c r="G346" s="6">
        <v>0</v>
      </c>
      <c r="H346" s="6">
        <v>0</v>
      </c>
      <c r="I346" s="6">
        <v>0</v>
      </c>
      <c r="J346" s="6"/>
      <c r="K346" s="6">
        <v>0</v>
      </c>
      <c r="L346" s="5"/>
    </row>
    <row r="347" spans="3:12" x14ac:dyDescent="0.25">
      <c r="C347" s="225"/>
      <c r="D347" s="197"/>
      <c r="E347" s="99"/>
      <c r="F347" s="6">
        <v>0</v>
      </c>
      <c r="G347" s="6">
        <v>0</v>
      </c>
      <c r="H347" s="6">
        <v>0</v>
      </c>
      <c r="I347" s="6">
        <v>0</v>
      </c>
      <c r="J347" s="6"/>
      <c r="K347" s="6">
        <v>0</v>
      </c>
      <c r="L347" s="5"/>
    </row>
    <row r="348" spans="3:12" x14ac:dyDescent="0.25">
      <c r="C348" s="225"/>
      <c r="D348" s="197"/>
      <c r="E348" s="99"/>
      <c r="F348" s="6">
        <v>0</v>
      </c>
      <c r="G348" s="6">
        <v>0</v>
      </c>
      <c r="H348" s="6">
        <v>0</v>
      </c>
      <c r="I348" s="6">
        <v>0</v>
      </c>
      <c r="J348" s="6"/>
      <c r="K348" s="6">
        <v>0</v>
      </c>
      <c r="L348" s="198">
        <f>SUM(F334:F337)+G338</f>
        <v>531987</v>
      </c>
    </row>
    <row r="349" spans="3:12" x14ac:dyDescent="0.25">
      <c r="C349" s="226"/>
      <c r="D349" s="197"/>
      <c r="E349" s="99"/>
      <c r="F349" s="6">
        <v>0</v>
      </c>
      <c r="G349" s="6">
        <v>0</v>
      </c>
      <c r="H349" s="6">
        <v>0</v>
      </c>
      <c r="I349" s="6">
        <v>0</v>
      </c>
      <c r="J349" s="6"/>
      <c r="K349" s="6">
        <v>0</v>
      </c>
      <c r="L349" s="213">
        <f>SUM(F339+F340+F341+F342+F343+G344+G345)</f>
        <v>395585</v>
      </c>
    </row>
    <row r="350" spans="3:12" x14ac:dyDescent="0.25">
      <c r="C350" s="101"/>
      <c r="D350" s="117"/>
      <c r="E350" s="102" t="s">
        <v>27</v>
      </c>
      <c r="F350" s="33">
        <f>SUM(F333:F349)</f>
        <v>772572</v>
      </c>
      <c r="G350" s="33">
        <f>SUM(G333:G349)</f>
        <v>155000</v>
      </c>
      <c r="H350" s="33">
        <f>SUM(H333:H348)</f>
        <v>0</v>
      </c>
      <c r="I350" s="33">
        <f>SUM(I333:I348)</f>
        <v>26000</v>
      </c>
      <c r="J350" s="33">
        <f>SUM(J333:J349)</f>
        <v>0</v>
      </c>
      <c r="K350" s="33">
        <f>SUM(F350:J350)-J350</f>
        <v>953572</v>
      </c>
      <c r="L350" s="16"/>
    </row>
    <row r="351" spans="3:12" x14ac:dyDescent="0.25">
      <c r="C351" s="224">
        <v>20</v>
      </c>
      <c r="D351" s="197" t="s">
        <v>44</v>
      </c>
      <c r="E351" s="15" t="s">
        <v>171</v>
      </c>
      <c r="F351" s="6">
        <v>0</v>
      </c>
      <c r="G351" s="200">
        <v>50000</v>
      </c>
      <c r="H351" s="6">
        <v>0</v>
      </c>
      <c r="I351" s="6">
        <v>0</v>
      </c>
      <c r="J351" s="6"/>
      <c r="K351" s="6">
        <v>0</v>
      </c>
      <c r="L351" s="5"/>
    </row>
    <row r="352" spans="3:12" x14ac:dyDescent="0.25">
      <c r="C352" s="225"/>
      <c r="D352" s="197" t="s">
        <v>19</v>
      </c>
      <c r="E352" s="99" t="s">
        <v>169</v>
      </c>
      <c r="F352" s="201">
        <v>23678</v>
      </c>
      <c r="G352" s="6">
        <v>0</v>
      </c>
      <c r="H352" s="6">
        <v>0</v>
      </c>
      <c r="I352" s="6">
        <v>0</v>
      </c>
      <c r="J352" s="6"/>
      <c r="K352" s="6">
        <v>0</v>
      </c>
      <c r="L352" s="5"/>
    </row>
    <row r="353" spans="3:12" x14ac:dyDescent="0.25">
      <c r="C353" s="225"/>
      <c r="D353" s="197" t="s">
        <v>40</v>
      </c>
      <c r="E353" s="99" t="s">
        <v>169</v>
      </c>
      <c r="F353" s="201">
        <v>44700</v>
      </c>
      <c r="G353" s="6">
        <v>0</v>
      </c>
      <c r="H353" s="6">
        <v>0</v>
      </c>
      <c r="I353" s="6">
        <v>0</v>
      </c>
      <c r="J353" s="6"/>
      <c r="K353" s="6">
        <v>0</v>
      </c>
      <c r="L353" s="5"/>
    </row>
    <row r="354" spans="3:12" x14ac:dyDescent="0.25">
      <c r="C354" s="225"/>
      <c r="D354" s="99" t="s">
        <v>145</v>
      </c>
      <c r="E354" s="99" t="s">
        <v>208</v>
      </c>
      <c r="F354" s="6">
        <v>0</v>
      </c>
      <c r="G354" s="219">
        <v>26000</v>
      </c>
      <c r="H354" s="6">
        <v>0</v>
      </c>
      <c r="I354" s="6">
        <v>0</v>
      </c>
      <c r="J354" s="6"/>
      <c r="K354" s="6">
        <v>0</v>
      </c>
      <c r="L354" s="5"/>
    </row>
    <row r="355" spans="3:12" x14ac:dyDescent="0.25">
      <c r="C355" s="225"/>
      <c r="D355" s="99" t="s">
        <v>175</v>
      </c>
      <c r="E355" s="99" t="s">
        <v>172</v>
      </c>
      <c r="F355" s="6">
        <v>0</v>
      </c>
      <c r="G355" s="6">
        <v>0</v>
      </c>
      <c r="H355" s="6">
        <v>0</v>
      </c>
      <c r="I355" s="201">
        <v>5000</v>
      </c>
      <c r="J355" s="6"/>
      <c r="K355" s="6">
        <v>0</v>
      </c>
      <c r="L355" s="5"/>
    </row>
    <row r="356" spans="3:12" x14ac:dyDescent="0.25">
      <c r="C356" s="225"/>
      <c r="D356" s="197" t="s">
        <v>148</v>
      </c>
      <c r="E356" s="99" t="s">
        <v>169</v>
      </c>
      <c r="F356" s="201">
        <v>98400</v>
      </c>
      <c r="G356" s="6">
        <v>0</v>
      </c>
      <c r="H356" s="6">
        <v>0</v>
      </c>
      <c r="I356" s="6">
        <v>0</v>
      </c>
      <c r="J356" s="6"/>
      <c r="K356" s="6">
        <v>0</v>
      </c>
      <c r="L356" s="5"/>
    </row>
    <row r="357" spans="3:12" x14ac:dyDescent="0.25">
      <c r="C357" s="225"/>
      <c r="D357" s="197" t="s">
        <v>127</v>
      </c>
      <c r="E357" s="99" t="s">
        <v>169</v>
      </c>
      <c r="F357" s="201">
        <v>53000</v>
      </c>
      <c r="G357" s="6">
        <v>0</v>
      </c>
      <c r="H357" s="6">
        <v>0</v>
      </c>
      <c r="I357" s="6">
        <v>0</v>
      </c>
      <c r="J357" s="6"/>
      <c r="K357" s="6">
        <v>0</v>
      </c>
      <c r="L357" s="5"/>
    </row>
    <row r="358" spans="3:12" x14ac:dyDescent="0.25">
      <c r="C358" s="225"/>
      <c r="D358" s="197" t="s">
        <v>154</v>
      </c>
      <c r="E358" s="99" t="s">
        <v>173</v>
      </c>
      <c r="F358" s="6">
        <v>0</v>
      </c>
      <c r="G358" s="201">
        <v>65000</v>
      </c>
      <c r="H358" s="6">
        <v>0</v>
      </c>
      <c r="I358" s="6">
        <v>0</v>
      </c>
      <c r="J358" s="6"/>
      <c r="K358" s="6">
        <v>0</v>
      </c>
      <c r="L358" s="5"/>
    </row>
    <row r="359" spans="3:12" x14ac:dyDescent="0.25">
      <c r="C359" s="225"/>
      <c r="D359" s="197" t="s">
        <v>145</v>
      </c>
      <c r="E359" s="99" t="s">
        <v>173</v>
      </c>
      <c r="F359" s="6">
        <v>0</v>
      </c>
      <c r="G359" s="201">
        <v>65000</v>
      </c>
      <c r="H359" s="6">
        <v>0</v>
      </c>
      <c r="I359" s="6">
        <v>0</v>
      </c>
      <c r="J359" s="6"/>
      <c r="K359" s="6">
        <v>0</v>
      </c>
      <c r="L359" s="5"/>
    </row>
    <row r="360" spans="3:12" x14ac:dyDescent="0.25">
      <c r="C360" s="225"/>
      <c r="D360" s="197"/>
      <c r="E360" s="99"/>
      <c r="F360" s="6">
        <v>0</v>
      </c>
      <c r="G360" s="6">
        <v>0</v>
      </c>
      <c r="H360" s="6">
        <v>0</v>
      </c>
      <c r="I360" s="6">
        <v>0</v>
      </c>
      <c r="J360" s="6"/>
      <c r="K360" s="6">
        <v>0</v>
      </c>
      <c r="L360" s="5"/>
    </row>
    <row r="361" spans="3:12" x14ac:dyDescent="0.25">
      <c r="C361" s="225"/>
      <c r="D361" s="197"/>
      <c r="E361" s="99"/>
      <c r="F361" s="6">
        <v>0</v>
      </c>
      <c r="G361" s="6">
        <v>0</v>
      </c>
      <c r="H361" s="6">
        <v>0</v>
      </c>
      <c r="I361" s="6">
        <v>0</v>
      </c>
      <c r="J361" s="6"/>
      <c r="K361" s="6">
        <v>0</v>
      </c>
      <c r="L361" s="5"/>
    </row>
    <row r="362" spans="3:12" x14ac:dyDescent="0.25">
      <c r="C362" s="225"/>
      <c r="D362" s="197"/>
      <c r="E362" s="99"/>
      <c r="F362" s="6">
        <v>0</v>
      </c>
      <c r="G362" s="6">
        <v>0</v>
      </c>
      <c r="H362" s="6">
        <v>0</v>
      </c>
      <c r="I362" s="6">
        <v>0</v>
      </c>
      <c r="J362" s="6"/>
      <c r="K362" s="6">
        <v>0</v>
      </c>
      <c r="L362" s="5"/>
    </row>
    <row r="363" spans="3:12" x14ac:dyDescent="0.25">
      <c r="C363" s="225"/>
      <c r="D363" s="197"/>
      <c r="E363" s="99"/>
      <c r="F363" s="6">
        <v>0</v>
      </c>
      <c r="G363" s="6">
        <v>0</v>
      </c>
      <c r="H363" s="6">
        <v>0</v>
      </c>
      <c r="I363" s="6">
        <v>0</v>
      </c>
      <c r="J363" s="6"/>
      <c r="K363" s="6">
        <v>0</v>
      </c>
      <c r="L363" s="5"/>
    </row>
    <row r="364" spans="3:12" x14ac:dyDescent="0.25">
      <c r="C364" s="225"/>
      <c r="D364" s="197"/>
      <c r="E364" s="99"/>
      <c r="F364" s="6">
        <v>0</v>
      </c>
      <c r="G364" s="6">
        <v>0</v>
      </c>
      <c r="H364" s="6">
        <v>0</v>
      </c>
      <c r="I364" s="6">
        <v>0</v>
      </c>
      <c r="J364" s="6"/>
      <c r="K364" s="6">
        <v>0</v>
      </c>
      <c r="L364" s="5"/>
    </row>
    <row r="365" spans="3:12" x14ac:dyDescent="0.25">
      <c r="C365" s="225"/>
      <c r="D365" s="197"/>
      <c r="E365" s="99"/>
      <c r="F365" s="6">
        <v>0</v>
      </c>
      <c r="G365" s="6">
        <v>0</v>
      </c>
      <c r="H365" s="6">
        <v>0</v>
      </c>
      <c r="I365" s="6">
        <v>0</v>
      </c>
      <c r="J365" s="6"/>
      <c r="K365" s="6">
        <v>0</v>
      </c>
      <c r="L365" s="5"/>
    </row>
    <row r="366" spans="3:12" x14ac:dyDescent="0.25">
      <c r="C366" s="225"/>
      <c r="D366" s="197"/>
      <c r="E366" s="99"/>
      <c r="F366" s="6">
        <v>0</v>
      </c>
      <c r="G366" s="6">
        <v>0</v>
      </c>
      <c r="H366" s="6">
        <v>0</v>
      </c>
      <c r="I366" s="6">
        <v>0</v>
      </c>
      <c r="J366" s="6"/>
      <c r="K366" s="6">
        <v>0</v>
      </c>
      <c r="L366" s="5"/>
    </row>
    <row r="367" spans="3:12" x14ac:dyDescent="0.25">
      <c r="C367" s="225"/>
      <c r="D367" s="197"/>
      <c r="E367" s="99"/>
      <c r="F367" s="6">
        <v>0</v>
      </c>
      <c r="G367" s="6">
        <v>0</v>
      </c>
      <c r="H367" s="6">
        <v>0</v>
      </c>
      <c r="I367" s="6">
        <v>0</v>
      </c>
      <c r="J367" s="6"/>
      <c r="K367" s="6">
        <v>0</v>
      </c>
      <c r="L367" s="5"/>
    </row>
    <row r="368" spans="3:12" x14ac:dyDescent="0.25">
      <c r="C368" s="225"/>
      <c r="D368" s="197"/>
      <c r="E368" s="99"/>
      <c r="F368" s="6">
        <v>0</v>
      </c>
      <c r="G368" s="6">
        <v>0</v>
      </c>
      <c r="H368" s="6">
        <v>0</v>
      </c>
      <c r="I368" s="6">
        <v>0</v>
      </c>
      <c r="J368" s="6"/>
      <c r="K368" s="6">
        <v>0</v>
      </c>
      <c r="L368" s="198">
        <f>SUM(G351)</f>
        <v>50000</v>
      </c>
    </row>
    <row r="369" spans="3:12" x14ac:dyDescent="0.25">
      <c r="C369" s="225"/>
      <c r="D369" s="197"/>
      <c r="E369" s="99"/>
      <c r="F369" s="6">
        <v>0</v>
      </c>
      <c r="G369" s="6">
        <v>0</v>
      </c>
      <c r="H369" s="6">
        <v>0</v>
      </c>
      <c r="I369" s="6">
        <v>0</v>
      </c>
      <c r="J369" s="6"/>
      <c r="K369" s="6">
        <v>0</v>
      </c>
      <c r="L369" s="202">
        <f>SUM(F352+F353+I355+F356+F357+G358+G359)</f>
        <v>354778</v>
      </c>
    </row>
    <row r="370" spans="3:12" x14ac:dyDescent="0.25">
      <c r="C370" s="101"/>
      <c r="D370" s="117"/>
      <c r="E370" s="102" t="s">
        <v>27</v>
      </c>
      <c r="F370" s="33">
        <f>SUM(F351:F369)</f>
        <v>219778</v>
      </c>
      <c r="G370" s="33">
        <f>SUM(G351:G369)</f>
        <v>206000</v>
      </c>
      <c r="H370" s="33">
        <f>SUM(H351:H369)</f>
        <v>0</v>
      </c>
      <c r="I370" s="33">
        <f>SUM(I351:I369)</f>
        <v>5000</v>
      </c>
      <c r="J370" s="33">
        <f>SUM(J351:J369)</f>
        <v>0</v>
      </c>
      <c r="K370" s="33">
        <f>SUM(F370:J370)-J370</f>
        <v>430778</v>
      </c>
      <c r="L370" s="16"/>
    </row>
    <row r="371" spans="3:12" x14ac:dyDescent="0.25">
      <c r="C371" s="224">
        <v>21</v>
      </c>
      <c r="D371" s="197" t="s">
        <v>34</v>
      </c>
      <c r="E371" s="99" t="s">
        <v>169</v>
      </c>
      <c r="F371" s="203">
        <v>10000</v>
      </c>
      <c r="G371" s="6">
        <v>0</v>
      </c>
      <c r="H371" s="6">
        <v>0</v>
      </c>
      <c r="I371" s="6">
        <v>0</v>
      </c>
      <c r="J371" s="6"/>
      <c r="K371" s="6">
        <v>0</v>
      </c>
      <c r="L371" s="5"/>
    </row>
    <row r="372" spans="3:12" x14ac:dyDescent="0.25">
      <c r="C372" s="225"/>
      <c r="D372" s="197" t="s">
        <v>22</v>
      </c>
      <c r="E372" s="99" t="s">
        <v>169</v>
      </c>
      <c r="F372" s="203">
        <v>192900</v>
      </c>
      <c r="G372" s="6">
        <v>0</v>
      </c>
      <c r="H372" s="6">
        <v>0</v>
      </c>
      <c r="I372" s="6">
        <v>0</v>
      </c>
      <c r="J372" s="6"/>
      <c r="K372" s="6">
        <v>0</v>
      </c>
      <c r="L372" s="5"/>
    </row>
    <row r="373" spans="3:12" x14ac:dyDescent="0.25">
      <c r="C373" s="225"/>
      <c r="D373" s="197" t="s">
        <v>40</v>
      </c>
      <c r="E373" s="99" t="s">
        <v>169</v>
      </c>
      <c r="F373" s="203">
        <v>10990</v>
      </c>
      <c r="G373" s="6">
        <v>0</v>
      </c>
      <c r="H373" s="6">
        <v>0</v>
      </c>
      <c r="I373" s="6">
        <v>0</v>
      </c>
      <c r="J373" s="6"/>
      <c r="K373" s="6">
        <v>0</v>
      </c>
      <c r="L373" s="5"/>
    </row>
    <row r="374" spans="3:12" x14ac:dyDescent="0.25">
      <c r="C374" s="225"/>
      <c r="D374" s="197" t="s">
        <v>145</v>
      </c>
      <c r="E374" s="15" t="s">
        <v>171</v>
      </c>
      <c r="F374" s="6">
        <v>0</v>
      </c>
      <c r="G374" s="203">
        <v>65000</v>
      </c>
      <c r="H374" s="6">
        <v>0</v>
      </c>
      <c r="I374" s="6">
        <v>0</v>
      </c>
      <c r="J374" s="6"/>
      <c r="K374" s="6">
        <v>0</v>
      </c>
      <c r="L374" s="5"/>
    </row>
    <row r="375" spans="3:12" x14ac:dyDescent="0.25">
      <c r="C375" s="225"/>
      <c r="D375" s="99" t="s">
        <v>211</v>
      </c>
      <c r="E375" s="99" t="s">
        <v>172</v>
      </c>
      <c r="F375" s="6">
        <v>0</v>
      </c>
      <c r="G375" s="6"/>
      <c r="H375" s="6">
        <v>0</v>
      </c>
      <c r="I375" s="201">
        <v>15000</v>
      </c>
      <c r="J375" s="6"/>
      <c r="K375" s="6">
        <v>0</v>
      </c>
      <c r="L375" s="5"/>
    </row>
    <row r="376" spans="3:12" x14ac:dyDescent="0.25">
      <c r="C376" s="225"/>
      <c r="D376" s="197" t="s">
        <v>101</v>
      </c>
      <c r="E376" s="99" t="s">
        <v>212</v>
      </c>
      <c r="F376" s="6">
        <v>0</v>
      </c>
      <c r="G376" s="6">
        <v>0</v>
      </c>
      <c r="H376" s="6">
        <v>0</v>
      </c>
      <c r="I376" s="214">
        <v>8400</v>
      </c>
      <c r="J376" s="6"/>
      <c r="K376" s="6">
        <v>0</v>
      </c>
      <c r="L376" s="5"/>
    </row>
    <row r="377" spans="3:12" x14ac:dyDescent="0.25">
      <c r="C377" s="225"/>
      <c r="D377" s="197" t="s">
        <v>19</v>
      </c>
      <c r="E377" s="99" t="s">
        <v>169</v>
      </c>
      <c r="F377" s="201">
        <v>40320</v>
      </c>
      <c r="G377" s="6">
        <v>0</v>
      </c>
      <c r="H377" s="6">
        <v>0</v>
      </c>
      <c r="I377" s="6"/>
      <c r="J377" s="6"/>
      <c r="K377" s="6">
        <v>0</v>
      </c>
      <c r="L377" s="5"/>
    </row>
    <row r="378" spans="3:12" x14ac:dyDescent="0.25">
      <c r="C378" s="225"/>
      <c r="D378" s="197" t="s">
        <v>18</v>
      </c>
      <c r="E378" s="99" t="s">
        <v>169</v>
      </c>
      <c r="F378" s="201">
        <v>16850</v>
      </c>
      <c r="G378" s="6">
        <v>0</v>
      </c>
      <c r="H378" s="6">
        <v>0</v>
      </c>
      <c r="I378" s="6">
        <v>0</v>
      </c>
      <c r="J378" s="6"/>
      <c r="K378" s="6">
        <v>0</v>
      </c>
      <c r="L378" s="5"/>
    </row>
    <row r="379" spans="3:12" x14ac:dyDescent="0.25">
      <c r="C379" s="225"/>
      <c r="D379" s="197" t="s">
        <v>148</v>
      </c>
      <c r="E379" s="99" t="s">
        <v>169</v>
      </c>
      <c r="F379" s="201">
        <v>116800</v>
      </c>
      <c r="G379" s="6">
        <v>0</v>
      </c>
      <c r="H379" s="6">
        <v>0</v>
      </c>
      <c r="I379" s="6">
        <v>0</v>
      </c>
      <c r="J379" s="6"/>
      <c r="K379" s="6">
        <v>0</v>
      </c>
      <c r="L379" s="5"/>
    </row>
    <row r="380" spans="3:12" x14ac:dyDescent="0.25">
      <c r="C380" s="225"/>
      <c r="D380" s="197" t="s">
        <v>37</v>
      </c>
      <c r="E380" s="99" t="s">
        <v>173</v>
      </c>
      <c r="F380" s="6">
        <v>0</v>
      </c>
      <c r="G380" s="201">
        <v>75000</v>
      </c>
      <c r="H380" s="6">
        <v>0</v>
      </c>
      <c r="I380" s="6">
        <v>0</v>
      </c>
      <c r="J380" s="6"/>
      <c r="K380" s="6">
        <v>0</v>
      </c>
      <c r="L380" s="5"/>
    </row>
    <row r="381" spans="3:12" x14ac:dyDescent="0.25">
      <c r="C381" s="225"/>
      <c r="D381" s="197" t="s">
        <v>44</v>
      </c>
      <c r="E381" s="99" t="s">
        <v>173</v>
      </c>
      <c r="F381" s="6">
        <v>0</v>
      </c>
      <c r="G381" s="214">
        <v>75000</v>
      </c>
      <c r="H381" s="6">
        <v>0</v>
      </c>
      <c r="I381" s="6">
        <v>0</v>
      </c>
      <c r="J381" s="6"/>
      <c r="K381" s="6">
        <v>0</v>
      </c>
      <c r="L381" s="5"/>
    </row>
    <row r="382" spans="3:12" x14ac:dyDescent="0.25">
      <c r="C382" s="225"/>
      <c r="D382" s="197"/>
      <c r="E382" s="99"/>
      <c r="F382" s="6">
        <v>0</v>
      </c>
      <c r="G382" s="6">
        <v>0</v>
      </c>
      <c r="H382" s="6">
        <v>0</v>
      </c>
      <c r="I382" s="6">
        <v>0</v>
      </c>
      <c r="J382" s="6"/>
      <c r="K382" s="6">
        <v>0</v>
      </c>
      <c r="L382" s="5"/>
    </row>
    <row r="383" spans="3:12" x14ac:dyDescent="0.25">
      <c r="C383" s="225"/>
      <c r="D383" s="197"/>
      <c r="E383" s="99"/>
      <c r="F383" s="6">
        <v>0</v>
      </c>
      <c r="G383" s="6">
        <v>0</v>
      </c>
      <c r="H383" s="6">
        <v>0</v>
      </c>
      <c r="I383" s="6">
        <v>0</v>
      </c>
      <c r="J383" s="6"/>
      <c r="K383" s="6">
        <v>0</v>
      </c>
      <c r="L383" s="5"/>
    </row>
    <row r="384" spans="3:12" x14ac:dyDescent="0.25">
      <c r="C384" s="225"/>
      <c r="D384" s="197"/>
      <c r="E384" s="99"/>
      <c r="F384" s="6">
        <v>0</v>
      </c>
      <c r="G384" s="6">
        <v>0</v>
      </c>
      <c r="H384" s="6">
        <v>0</v>
      </c>
      <c r="I384" s="6">
        <v>0</v>
      </c>
      <c r="J384" s="6"/>
      <c r="K384" s="6">
        <v>0</v>
      </c>
      <c r="L384" s="5"/>
    </row>
    <row r="385" spans="3:12" x14ac:dyDescent="0.25">
      <c r="C385" s="225"/>
      <c r="D385" s="197"/>
      <c r="E385" s="99"/>
      <c r="F385" s="6">
        <v>0</v>
      </c>
      <c r="G385" s="6">
        <v>0</v>
      </c>
      <c r="H385" s="6">
        <v>0</v>
      </c>
      <c r="I385" s="6">
        <v>0</v>
      </c>
      <c r="J385" s="6"/>
      <c r="K385" s="6">
        <v>0</v>
      </c>
      <c r="L385" s="5"/>
    </row>
    <row r="386" spans="3:12" x14ac:dyDescent="0.25">
      <c r="C386" s="225"/>
      <c r="D386" s="197"/>
      <c r="E386" s="99"/>
      <c r="F386" s="6">
        <v>0</v>
      </c>
      <c r="G386" s="6">
        <v>0</v>
      </c>
      <c r="H386" s="6">
        <v>0</v>
      </c>
      <c r="I386" s="6">
        <v>0</v>
      </c>
      <c r="J386" s="6"/>
      <c r="K386" s="6">
        <v>0</v>
      </c>
      <c r="L386" s="108">
        <f>SUM(F371+F372+F373+G374)</f>
        <v>278890</v>
      </c>
    </row>
    <row r="387" spans="3:12" x14ac:dyDescent="0.25">
      <c r="C387" s="225"/>
      <c r="D387" s="197"/>
      <c r="E387" s="99"/>
      <c r="F387" s="6">
        <v>0</v>
      </c>
      <c r="G387" s="6">
        <v>0</v>
      </c>
      <c r="H387" s="6">
        <v>0</v>
      </c>
      <c r="I387" s="6">
        <v>0</v>
      </c>
      <c r="J387" s="6"/>
      <c r="K387" s="6">
        <v>0</v>
      </c>
      <c r="L387" s="202">
        <f>SUM(F377:F379)+I375+G380</f>
        <v>263970</v>
      </c>
    </row>
    <row r="388" spans="3:12" x14ac:dyDescent="0.25">
      <c r="C388" s="225"/>
      <c r="D388" s="197"/>
      <c r="E388" s="99"/>
      <c r="F388" s="6">
        <v>0</v>
      </c>
      <c r="G388" s="6">
        <v>0</v>
      </c>
      <c r="H388" s="6">
        <v>0</v>
      </c>
      <c r="I388" s="6">
        <v>0</v>
      </c>
      <c r="J388" s="6"/>
      <c r="K388" s="6">
        <v>0</v>
      </c>
      <c r="L388" s="108">
        <f>L386+L387</f>
        <v>542860</v>
      </c>
    </row>
    <row r="389" spans="3:12" x14ac:dyDescent="0.25">
      <c r="C389" s="101"/>
      <c r="D389" s="117"/>
      <c r="E389" s="102" t="s">
        <v>27</v>
      </c>
      <c r="F389" s="33">
        <f>SUM(F371:F388)</f>
        <v>387860</v>
      </c>
      <c r="G389" s="33">
        <f>SUM(G371:G388)</f>
        <v>215000</v>
      </c>
      <c r="H389" s="33">
        <f>SUM(H371:H388)</f>
        <v>0</v>
      </c>
      <c r="I389" s="33">
        <f>SUM(I371:I388)</f>
        <v>23400</v>
      </c>
      <c r="J389" s="33">
        <f>SUM(J371:J388)</f>
        <v>0</v>
      </c>
      <c r="K389" s="33">
        <f>SUM(F389:J389)-J389</f>
        <v>626260</v>
      </c>
      <c r="L389" s="16"/>
    </row>
    <row r="390" spans="3:12" x14ac:dyDescent="0.25">
      <c r="C390" s="224">
        <v>22</v>
      </c>
      <c r="D390" s="197" t="s">
        <v>34</v>
      </c>
      <c r="E390" s="15" t="s">
        <v>169</v>
      </c>
      <c r="F390" s="200">
        <v>10000</v>
      </c>
      <c r="G390" s="6">
        <v>0</v>
      </c>
      <c r="H390" s="6">
        <v>0</v>
      </c>
      <c r="I390" s="6">
        <v>0</v>
      </c>
      <c r="J390" s="6"/>
      <c r="K390" s="6">
        <v>0</v>
      </c>
      <c r="L390" s="5"/>
    </row>
    <row r="391" spans="3:12" x14ac:dyDescent="0.25">
      <c r="C391" s="225"/>
      <c r="D391" s="197" t="s">
        <v>37</v>
      </c>
      <c r="E391" s="15" t="s">
        <v>171</v>
      </c>
      <c r="F391" s="6">
        <v>0</v>
      </c>
      <c r="G391" s="200">
        <v>55000</v>
      </c>
      <c r="H391" s="6">
        <v>0</v>
      </c>
      <c r="I391" s="6">
        <v>0</v>
      </c>
      <c r="J391" s="6"/>
      <c r="K391" s="6">
        <v>0</v>
      </c>
      <c r="L391" s="5"/>
    </row>
    <row r="392" spans="3:12" x14ac:dyDescent="0.25">
      <c r="C392" s="225"/>
      <c r="D392" s="197" t="s">
        <v>46</v>
      </c>
      <c r="E392" s="99" t="s">
        <v>172</v>
      </c>
      <c r="F392" s="6">
        <v>0</v>
      </c>
      <c r="G392" s="6">
        <v>0</v>
      </c>
      <c r="H392" s="6">
        <v>0</v>
      </c>
      <c r="I392" s="200">
        <v>12000</v>
      </c>
      <c r="J392" s="6"/>
      <c r="K392" s="6">
        <v>0</v>
      </c>
      <c r="L392" s="5"/>
    </row>
    <row r="393" spans="3:12" x14ac:dyDescent="0.25">
      <c r="C393" s="225"/>
      <c r="D393" s="197" t="s">
        <v>40</v>
      </c>
      <c r="E393" s="15" t="s">
        <v>169</v>
      </c>
      <c r="F393" s="201">
        <v>11560</v>
      </c>
      <c r="G393" s="6">
        <v>0</v>
      </c>
      <c r="H393" s="6">
        <v>0</v>
      </c>
      <c r="I393" s="6">
        <v>0</v>
      </c>
      <c r="J393" s="6"/>
      <c r="K393" s="6">
        <v>0</v>
      </c>
      <c r="L393" s="5"/>
    </row>
    <row r="394" spans="3:12" x14ac:dyDescent="0.25">
      <c r="C394" s="225"/>
      <c r="D394" s="197" t="s">
        <v>134</v>
      </c>
      <c r="E394" s="15" t="s">
        <v>169</v>
      </c>
      <c r="F394" s="201">
        <v>7800</v>
      </c>
      <c r="G394" s="6">
        <v>0</v>
      </c>
      <c r="H394" s="6">
        <v>0</v>
      </c>
      <c r="I394" s="6">
        <v>0</v>
      </c>
      <c r="J394" s="6"/>
      <c r="K394" s="6">
        <v>0</v>
      </c>
      <c r="L394" s="5"/>
    </row>
    <row r="395" spans="3:12" x14ac:dyDescent="0.25">
      <c r="C395" s="225"/>
      <c r="D395" s="197" t="s">
        <v>106</v>
      </c>
      <c r="E395" s="15" t="s">
        <v>169</v>
      </c>
      <c r="F395" s="201">
        <v>10850</v>
      </c>
      <c r="G395" s="6">
        <v>0</v>
      </c>
      <c r="H395" s="6">
        <v>0</v>
      </c>
      <c r="I395" s="6">
        <v>0</v>
      </c>
      <c r="J395" s="6"/>
      <c r="K395" s="6">
        <v>0</v>
      </c>
      <c r="L395" s="5"/>
    </row>
    <row r="396" spans="3:12" x14ac:dyDescent="0.25">
      <c r="C396" s="225"/>
      <c r="D396" s="197" t="s">
        <v>19</v>
      </c>
      <c r="E396" s="15" t="s">
        <v>169</v>
      </c>
      <c r="F396" s="201">
        <v>56235</v>
      </c>
      <c r="G396" s="6">
        <v>0</v>
      </c>
      <c r="H396" s="6">
        <v>0</v>
      </c>
      <c r="I396" s="6">
        <v>0</v>
      </c>
      <c r="J396" s="6"/>
      <c r="K396" s="6">
        <v>0</v>
      </c>
      <c r="L396" s="5"/>
    </row>
    <row r="397" spans="3:12" x14ac:dyDescent="0.25">
      <c r="C397" s="225"/>
      <c r="D397" s="197" t="s">
        <v>148</v>
      </c>
      <c r="E397" s="15" t="s">
        <v>169</v>
      </c>
      <c r="F397" s="201">
        <v>180000</v>
      </c>
      <c r="G397" s="6">
        <v>0</v>
      </c>
      <c r="H397" s="6">
        <v>0</v>
      </c>
      <c r="I397" s="6">
        <v>0</v>
      </c>
      <c r="J397" s="6"/>
      <c r="K397" s="6">
        <v>0</v>
      </c>
      <c r="L397" s="5"/>
    </row>
    <row r="398" spans="3:12" x14ac:dyDescent="0.25">
      <c r="C398" s="225"/>
      <c r="D398" s="197" t="s">
        <v>44</v>
      </c>
      <c r="E398" s="99" t="s">
        <v>173</v>
      </c>
      <c r="F398" s="6">
        <v>0</v>
      </c>
      <c r="G398" s="201">
        <v>50000</v>
      </c>
      <c r="H398" s="6">
        <v>0</v>
      </c>
      <c r="I398" s="6">
        <v>0</v>
      </c>
      <c r="J398" s="6"/>
      <c r="K398" s="6">
        <v>0</v>
      </c>
      <c r="L398" s="5"/>
    </row>
    <row r="399" spans="3:12" x14ac:dyDescent="0.25">
      <c r="C399" s="225"/>
      <c r="D399" s="197" t="s">
        <v>145</v>
      </c>
      <c r="E399" s="99" t="s">
        <v>173</v>
      </c>
      <c r="F399" s="6">
        <v>0</v>
      </c>
      <c r="G399" s="201">
        <v>50000</v>
      </c>
      <c r="H399" s="6">
        <v>0</v>
      </c>
      <c r="I399" s="6">
        <v>0</v>
      </c>
      <c r="J399" s="6"/>
      <c r="K399" s="6">
        <v>0</v>
      </c>
      <c r="L399" s="5"/>
    </row>
    <row r="400" spans="3:12" x14ac:dyDescent="0.25">
      <c r="C400" s="225"/>
      <c r="D400" s="197" t="s">
        <v>45</v>
      </c>
      <c r="E400" s="99" t="s">
        <v>172</v>
      </c>
      <c r="F400" s="6">
        <v>0</v>
      </c>
      <c r="G400" s="6">
        <v>0</v>
      </c>
      <c r="H400" s="6">
        <v>0</v>
      </c>
      <c r="I400" s="201">
        <v>5000</v>
      </c>
      <c r="J400" s="6"/>
      <c r="K400" s="6">
        <v>0</v>
      </c>
      <c r="L400" s="5"/>
    </row>
    <row r="401" spans="3:12" x14ac:dyDescent="0.25">
      <c r="C401" s="225"/>
      <c r="D401" s="197"/>
      <c r="E401" s="99"/>
      <c r="F401" s="6">
        <v>0</v>
      </c>
      <c r="G401" s="6">
        <v>0</v>
      </c>
      <c r="H401" s="6">
        <v>0</v>
      </c>
      <c r="I401" s="6">
        <v>0</v>
      </c>
      <c r="J401" s="6"/>
      <c r="K401" s="6">
        <v>0</v>
      </c>
      <c r="L401" s="5"/>
    </row>
    <row r="402" spans="3:12" x14ac:dyDescent="0.25">
      <c r="C402" s="225"/>
      <c r="D402" s="197"/>
      <c r="E402" s="99"/>
      <c r="F402" s="6">
        <v>0</v>
      </c>
      <c r="G402" s="6">
        <v>0</v>
      </c>
      <c r="H402" s="6">
        <v>0</v>
      </c>
      <c r="I402" s="6">
        <v>0</v>
      </c>
      <c r="J402" s="6"/>
      <c r="K402" s="6">
        <v>0</v>
      </c>
      <c r="L402" s="5"/>
    </row>
    <row r="403" spans="3:12" x14ac:dyDescent="0.25">
      <c r="C403" s="225"/>
      <c r="D403" s="197"/>
      <c r="E403" s="99"/>
      <c r="F403" s="6">
        <v>0</v>
      </c>
      <c r="G403" s="6">
        <v>0</v>
      </c>
      <c r="H403" s="6">
        <v>0</v>
      </c>
      <c r="I403" s="6">
        <v>0</v>
      </c>
      <c r="J403" s="6"/>
      <c r="K403" s="6">
        <v>0</v>
      </c>
      <c r="L403" s="5"/>
    </row>
    <row r="404" spans="3:12" x14ac:dyDescent="0.25">
      <c r="C404" s="225"/>
      <c r="D404" s="197"/>
      <c r="E404" s="99"/>
      <c r="F404" s="6">
        <v>0</v>
      </c>
      <c r="G404" s="6">
        <v>0</v>
      </c>
      <c r="H404" s="6">
        <v>0</v>
      </c>
      <c r="I404" s="6">
        <v>0</v>
      </c>
      <c r="J404" s="6"/>
      <c r="K404" s="6">
        <v>0</v>
      </c>
      <c r="L404" s="5"/>
    </row>
    <row r="405" spans="3:12" x14ac:dyDescent="0.25">
      <c r="C405" s="225"/>
      <c r="D405" s="197"/>
      <c r="E405" s="99"/>
      <c r="F405" s="6">
        <v>0</v>
      </c>
      <c r="G405" s="6">
        <v>0</v>
      </c>
      <c r="H405" s="6">
        <v>0</v>
      </c>
      <c r="I405" s="6">
        <v>0</v>
      </c>
      <c r="J405" s="6"/>
      <c r="K405" s="6">
        <v>0</v>
      </c>
      <c r="L405" s="198">
        <f>SUM(F390:I392)</f>
        <v>77000</v>
      </c>
    </row>
    <row r="406" spans="3:12" x14ac:dyDescent="0.25">
      <c r="C406" s="225"/>
      <c r="D406" s="197"/>
      <c r="E406" s="99"/>
      <c r="F406" s="6">
        <v>0</v>
      </c>
      <c r="G406" s="6">
        <v>0</v>
      </c>
      <c r="H406" s="6">
        <v>0</v>
      </c>
      <c r="I406" s="6">
        <v>0</v>
      </c>
      <c r="J406" s="6"/>
      <c r="K406" s="6">
        <v>0</v>
      </c>
      <c r="L406" s="202">
        <f>SUM(F393+F394+F395+F396+F397+G398+G399+I400)</f>
        <v>371445</v>
      </c>
    </row>
    <row r="407" spans="3:12" x14ac:dyDescent="0.25">
      <c r="C407" s="225"/>
      <c r="D407" s="197"/>
      <c r="E407" s="99"/>
      <c r="F407" s="6">
        <v>0</v>
      </c>
      <c r="G407" s="6">
        <v>0</v>
      </c>
      <c r="H407" s="6">
        <v>0</v>
      </c>
      <c r="I407" s="6">
        <v>0</v>
      </c>
      <c r="J407" s="6"/>
      <c r="K407" s="6">
        <v>0</v>
      </c>
      <c r="L407" s="5"/>
    </row>
    <row r="408" spans="3:12" x14ac:dyDescent="0.25">
      <c r="C408" s="101"/>
      <c r="D408" s="117"/>
      <c r="E408" s="102" t="s">
        <v>27</v>
      </c>
      <c r="F408" s="33">
        <f>SUM(F390:F407)</f>
        <v>276445</v>
      </c>
      <c r="G408" s="33">
        <f>SUM(G390:G407)</f>
        <v>155000</v>
      </c>
      <c r="H408" s="33">
        <f>SUM(H390:H407)</f>
        <v>0</v>
      </c>
      <c r="I408" s="33">
        <f>SUM(I390:I407)</f>
        <v>17000</v>
      </c>
      <c r="J408" s="33">
        <f>SUM(J390:J407)</f>
        <v>0</v>
      </c>
      <c r="K408" s="33">
        <f>SUM(F408:J408)-J408</f>
        <v>448445</v>
      </c>
      <c r="L408" s="16"/>
    </row>
    <row r="409" spans="3:12" x14ac:dyDescent="0.25">
      <c r="C409" s="224">
        <v>23</v>
      </c>
      <c r="D409" s="197" t="s">
        <v>34</v>
      </c>
      <c r="E409" s="15" t="s">
        <v>169</v>
      </c>
      <c r="F409" s="203">
        <v>10000</v>
      </c>
      <c r="G409" s="6">
        <v>0</v>
      </c>
      <c r="H409" s="6">
        <v>0</v>
      </c>
      <c r="I409" s="6">
        <v>0</v>
      </c>
      <c r="J409" s="6"/>
      <c r="K409" s="6">
        <v>0</v>
      </c>
      <c r="L409" s="5"/>
    </row>
    <row r="410" spans="3:12" x14ac:dyDescent="0.25">
      <c r="C410" s="225"/>
      <c r="D410" s="197" t="s">
        <v>24</v>
      </c>
      <c r="E410" s="15" t="s">
        <v>169</v>
      </c>
      <c r="F410" s="203">
        <v>513913</v>
      </c>
      <c r="G410" s="6">
        <v>0</v>
      </c>
      <c r="H410" s="6">
        <v>0</v>
      </c>
      <c r="I410" s="6">
        <v>0</v>
      </c>
      <c r="J410" s="6"/>
      <c r="K410" s="6">
        <v>0</v>
      </c>
      <c r="L410" s="5"/>
    </row>
    <row r="411" spans="3:12" x14ac:dyDescent="0.25">
      <c r="C411" s="225"/>
      <c r="D411" s="197" t="s">
        <v>119</v>
      </c>
      <c r="E411" s="15" t="s">
        <v>169</v>
      </c>
      <c r="F411" s="203">
        <v>49743</v>
      </c>
      <c r="G411" s="6">
        <v>0</v>
      </c>
      <c r="H411" s="6">
        <v>0</v>
      </c>
      <c r="I411" s="6">
        <v>0</v>
      </c>
      <c r="J411" s="6"/>
      <c r="K411" s="6">
        <v>0</v>
      </c>
      <c r="L411" s="5"/>
    </row>
    <row r="412" spans="3:12" x14ac:dyDescent="0.25">
      <c r="C412" s="225"/>
      <c r="D412" s="197" t="s">
        <v>119</v>
      </c>
      <c r="E412" s="15" t="s">
        <v>169</v>
      </c>
      <c r="F412" s="203">
        <v>15277</v>
      </c>
      <c r="G412" s="6">
        <v>0</v>
      </c>
      <c r="H412" s="6">
        <v>0</v>
      </c>
      <c r="I412" s="6">
        <v>0</v>
      </c>
      <c r="J412" s="6"/>
      <c r="K412" s="6">
        <v>0</v>
      </c>
      <c r="L412" s="5"/>
    </row>
    <row r="413" spans="3:12" x14ac:dyDescent="0.25">
      <c r="C413" s="225"/>
      <c r="D413" s="197" t="s">
        <v>145</v>
      </c>
      <c r="E413" s="15" t="s">
        <v>171</v>
      </c>
      <c r="F413" s="6">
        <v>0</v>
      </c>
      <c r="G413" s="203">
        <v>55000</v>
      </c>
      <c r="H413" s="6">
        <v>0</v>
      </c>
      <c r="I413" s="6">
        <v>0</v>
      </c>
      <c r="J413" s="6"/>
      <c r="K413" s="6">
        <v>0</v>
      </c>
      <c r="L413" s="5"/>
    </row>
    <row r="414" spans="3:12" x14ac:dyDescent="0.25">
      <c r="C414" s="225"/>
      <c r="D414" s="197" t="s">
        <v>19</v>
      </c>
      <c r="E414" s="99"/>
      <c r="F414" s="207">
        <v>14530</v>
      </c>
      <c r="G414" s="6">
        <v>0</v>
      </c>
      <c r="H414" s="6">
        <v>0</v>
      </c>
      <c r="I414" s="6">
        <v>0</v>
      </c>
      <c r="J414" s="6"/>
      <c r="K414" s="6">
        <v>0</v>
      </c>
      <c r="L414" s="5"/>
    </row>
    <row r="415" spans="3:12" x14ac:dyDescent="0.25">
      <c r="C415" s="225"/>
      <c r="D415" s="197" t="s">
        <v>105</v>
      </c>
      <c r="E415" s="99"/>
      <c r="F415" s="214">
        <v>43000</v>
      </c>
      <c r="G415" s="6">
        <v>0</v>
      </c>
      <c r="H415" s="6">
        <v>0</v>
      </c>
      <c r="I415" s="6">
        <v>0</v>
      </c>
      <c r="J415" s="6"/>
      <c r="K415" s="6">
        <v>0</v>
      </c>
      <c r="L415" s="5"/>
    </row>
    <row r="416" spans="3:12" x14ac:dyDescent="0.25">
      <c r="C416" s="225"/>
      <c r="D416" s="197" t="s">
        <v>23</v>
      </c>
      <c r="E416" s="99"/>
      <c r="F416" s="207">
        <v>74550</v>
      </c>
      <c r="G416" s="6"/>
      <c r="H416" s="6"/>
      <c r="I416" s="6"/>
      <c r="J416" s="6"/>
      <c r="K416" s="6"/>
      <c r="L416" s="5"/>
    </row>
    <row r="417" spans="3:12" x14ac:dyDescent="0.25">
      <c r="C417" s="225"/>
      <c r="D417" s="197" t="s">
        <v>45</v>
      </c>
      <c r="E417" s="99"/>
      <c r="F417" s="6">
        <v>0</v>
      </c>
      <c r="G417" s="6">
        <v>0</v>
      </c>
      <c r="H417" s="6">
        <v>0</v>
      </c>
      <c r="I417" s="207">
        <v>5000</v>
      </c>
      <c r="J417" s="6"/>
      <c r="K417" s="6">
        <v>0</v>
      </c>
      <c r="L417" s="5"/>
    </row>
    <row r="418" spans="3:12" x14ac:dyDescent="0.25">
      <c r="C418" s="225"/>
      <c r="D418" s="197" t="s">
        <v>37</v>
      </c>
      <c r="E418" s="99"/>
      <c r="F418" s="6">
        <v>0</v>
      </c>
      <c r="G418" s="207">
        <v>50000</v>
      </c>
      <c r="H418" s="6">
        <v>0</v>
      </c>
      <c r="I418" s="6">
        <v>0</v>
      </c>
      <c r="J418" s="6"/>
      <c r="K418" s="6">
        <v>0</v>
      </c>
      <c r="L418" s="5"/>
    </row>
    <row r="419" spans="3:12" x14ac:dyDescent="0.25">
      <c r="C419" s="225"/>
      <c r="D419" s="197" t="s">
        <v>44</v>
      </c>
      <c r="E419" s="99"/>
      <c r="F419" s="6">
        <v>0</v>
      </c>
      <c r="G419" s="207">
        <v>50000</v>
      </c>
      <c r="H419" s="6">
        <v>0</v>
      </c>
      <c r="I419" s="6">
        <v>0</v>
      </c>
      <c r="J419" s="6"/>
      <c r="K419" s="6">
        <v>0</v>
      </c>
      <c r="L419" s="5"/>
    </row>
    <row r="420" spans="3:12" x14ac:dyDescent="0.25">
      <c r="C420" s="225"/>
      <c r="D420" s="197"/>
      <c r="E420" s="99"/>
      <c r="F420" s="6">
        <v>0</v>
      </c>
      <c r="G420" s="6">
        <v>0</v>
      </c>
      <c r="H420" s="6">
        <v>0</v>
      </c>
      <c r="I420" s="6">
        <v>0</v>
      </c>
      <c r="J420" s="6"/>
      <c r="K420" s="6">
        <v>0</v>
      </c>
      <c r="L420" s="5"/>
    </row>
    <row r="421" spans="3:12" x14ac:dyDescent="0.25">
      <c r="C421" s="225"/>
      <c r="D421" s="197"/>
      <c r="E421" s="99"/>
      <c r="F421" s="6">
        <v>0</v>
      </c>
      <c r="G421" s="6">
        <v>0</v>
      </c>
      <c r="H421" s="6">
        <v>0</v>
      </c>
      <c r="I421" s="6">
        <v>0</v>
      </c>
      <c r="J421" s="6"/>
      <c r="K421" s="6">
        <v>0</v>
      </c>
      <c r="L421" s="5"/>
    </row>
    <row r="422" spans="3:12" x14ac:dyDescent="0.25">
      <c r="C422" s="225"/>
      <c r="D422" s="197"/>
      <c r="E422" s="99"/>
      <c r="F422" s="6">
        <v>0</v>
      </c>
      <c r="G422" s="6">
        <v>0</v>
      </c>
      <c r="H422" s="6">
        <v>0</v>
      </c>
      <c r="I422" s="6">
        <v>0</v>
      </c>
      <c r="J422" s="6"/>
      <c r="K422" s="6">
        <v>0</v>
      </c>
      <c r="L422" s="206">
        <f>SUM(F409+F410+F411+F412+G413)</f>
        <v>643933</v>
      </c>
    </row>
    <row r="423" spans="3:12" x14ac:dyDescent="0.25">
      <c r="C423" s="225"/>
      <c r="D423" s="197"/>
      <c r="E423" s="99"/>
      <c r="F423" s="6">
        <v>0</v>
      </c>
      <c r="G423" s="6">
        <v>0</v>
      </c>
      <c r="H423" s="6">
        <v>0</v>
      </c>
      <c r="I423" s="6">
        <v>0</v>
      </c>
      <c r="J423" s="6"/>
      <c r="K423" s="6">
        <v>0</v>
      </c>
      <c r="L423" s="208">
        <f>SUM(G418:G419)+F414+I417+F416</f>
        <v>194080</v>
      </c>
    </row>
    <row r="424" spans="3:12" ht="18" customHeight="1" x14ac:dyDescent="0.25">
      <c r="C424" s="225"/>
      <c r="D424" s="197"/>
      <c r="E424" s="99"/>
      <c r="F424" s="6">
        <v>0</v>
      </c>
      <c r="G424" s="6">
        <v>0</v>
      </c>
      <c r="H424" s="6">
        <v>0</v>
      </c>
      <c r="I424" s="6">
        <v>0</v>
      </c>
      <c r="J424" s="6"/>
      <c r="K424" s="6">
        <v>0</v>
      </c>
      <c r="L424" s="108">
        <f>L422+L423</f>
        <v>838013</v>
      </c>
    </row>
    <row r="425" spans="3:12" x14ac:dyDescent="0.25">
      <c r="C425" s="101"/>
      <c r="D425" s="117"/>
      <c r="E425" s="102" t="s">
        <v>27</v>
      </c>
      <c r="F425" s="33">
        <f>SUM(F409:F424)</f>
        <v>721013</v>
      </c>
      <c r="G425" s="33">
        <f>SUM(G409:G424)</f>
        <v>155000</v>
      </c>
      <c r="H425" s="33">
        <f>SUM(H409:H424)</f>
        <v>0</v>
      </c>
      <c r="I425" s="33">
        <f>SUM(I409:I424)</f>
        <v>5000</v>
      </c>
      <c r="J425" s="33">
        <f>SUM(J409:J424)</f>
        <v>0</v>
      </c>
      <c r="K425" s="33">
        <f>SUM(F425:J425)-J425</f>
        <v>881013</v>
      </c>
      <c r="L425" s="16"/>
    </row>
    <row r="426" spans="3:12" x14ac:dyDescent="0.25">
      <c r="C426" s="224">
        <v>24</v>
      </c>
      <c r="D426" s="99" t="s">
        <v>214</v>
      </c>
      <c r="E426" s="15" t="s">
        <v>213</v>
      </c>
      <c r="F426" s="6">
        <v>0</v>
      </c>
      <c r="G426" s="6">
        <v>0</v>
      </c>
      <c r="H426" s="214">
        <v>730650</v>
      </c>
      <c r="I426" s="6">
        <v>0</v>
      </c>
      <c r="J426" s="6"/>
      <c r="K426" s="6">
        <v>0</v>
      </c>
      <c r="L426" s="5"/>
    </row>
    <row r="427" spans="3:12" x14ac:dyDescent="0.25">
      <c r="C427" s="225"/>
      <c r="D427" s="197" t="s">
        <v>127</v>
      </c>
      <c r="E427" s="99" t="s">
        <v>169</v>
      </c>
      <c r="F427" s="220">
        <v>141900</v>
      </c>
      <c r="G427" s="6">
        <v>0</v>
      </c>
      <c r="H427" s="6">
        <v>0</v>
      </c>
      <c r="I427" s="6">
        <v>0</v>
      </c>
      <c r="J427" s="6"/>
      <c r="K427" s="6">
        <v>0</v>
      </c>
      <c r="L427" s="5"/>
    </row>
    <row r="428" spans="3:12" x14ac:dyDescent="0.25">
      <c r="C428" s="225"/>
      <c r="D428" s="197" t="s">
        <v>154</v>
      </c>
      <c r="E428" s="99" t="s">
        <v>171</v>
      </c>
      <c r="F428" s="6">
        <v>0</v>
      </c>
      <c r="G428" s="220">
        <v>50000</v>
      </c>
      <c r="H428" s="6">
        <v>0</v>
      </c>
      <c r="I428" s="6">
        <v>0</v>
      </c>
      <c r="J428" s="6"/>
      <c r="K428" s="6">
        <v>0</v>
      </c>
      <c r="L428" s="5"/>
    </row>
    <row r="429" spans="3:12" x14ac:dyDescent="0.25">
      <c r="C429" s="225"/>
      <c r="D429" s="197" t="s">
        <v>19</v>
      </c>
      <c r="E429" s="99" t="s">
        <v>169</v>
      </c>
      <c r="F429" s="207">
        <v>20214</v>
      </c>
      <c r="G429" s="6">
        <v>0</v>
      </c>
      <c r="H429" s="6">
        <v>0</v>
      </c>
      <c r="I429" s="6">
        <v>0</v>
      </c>
      <c r="J429" s="6"/>
      <c r="K429" s="6">
        <v>0</v>
      </c>
      <c r="L429" s="5"/>
    </row>
    <row r="430" spans="3:12" x14ac:dyDescent="0.25">
      <c r="C430" s="225"/>
      <c r="D430" s="197" t="s">
        <v>18</v>
      </c>
      <c r="E430" s="99" t="s">
        <v>169</v>
      </c>
      <c r="F430" s="207">
        <v>40600</v>
      </c>
      <c r="G430" s="6">
        <v>0</v>
      </c>
      <c r="H430" s="6">
        <v>0</v>
      </c>
      <c r="I430" s="6">
        <v>0</v>
      </c>
      <c r="J430" s="6"/>
      <c r="K430" s="6">
        <v>0</v>
      </c>
      <c r="L430" s="5"/>
    </row>
    <row r="431" spans="3:12" x14ac:dyDescent="0.25">
      <c r="C431" s="225"/>
      <c r="D431" s="197" t="s">
        <v>127</v>
      </c>
      <c r="E431" s="99" t="s">
        <v>169</v>
      </c>
      <c r="F431" s="207">
        <v>56500</v>
      </c>
      <c r="G431" s="6">
        <v>0</v>
      </c>
      <c r="H431" s="6">
        <v>0</v>
      </c>
      <c r="I431" s="6">
        <v>0</v>
      </c>
      <c r="J431" s="6"/>
      <c r="K431" s="6">
        <v>0</v>
      </c>
      <c r="L431" s="5"/>
    </row>
    <row r="432" spans="3:12" x14ac:dyDescent="0.25">
      <c r="C432" s="225"/>
      <c r="D432" s="197" t="s">
        <v>37</v>
      </c>
      <c r="E432" s="99" t="s">
        <v>173</v>
      </c>
      <c r="F432" s="6">
        <v>0</v>
      </c>
      <c r="G432" s="207">
        <v>50000</v>
      </c>
      <c r="H432" s="6">
        <v>0</v>
      </c>
      <c r="I432" s="6">
        <v>0</v>
      </c>
      <c r="J432" s="6"/>
      <c r="K432" s="6">
        <v>0</v>
      </c>
      <c r="L432" s="5"/>
    </row>
    <row r="433" spans="3:12" x14ac:dyDescent="0.25">
      <c r="C433" s="225"/>
      <c r="D433" s="197" t="s">
        <v>44</v>
      </c>
      <c r="E433" s="99" t="s">
        <v>173</v>
      </c>
      <c r="F433" s="6">
        <v>0</v>
      </c>
      <c r="G433" s="207">
        <v>50000</v>
      </c>
      <c r="H433" s="6">
        <v>0</v>
      </c>
      <c r="I433" s="6">
        <v>0</v>
      </c>
      <c r="J433" s="6"/>
      <c r="K433" s="6">
        <v>0</v>
      </c>
      <c r="L433" s="5"/>
    </row>
    <row r="434" spans="3:12" x14ac:dyDescent="0.25">
      <c r="C434" s="225"/>
      <c r="D434" s="197"/>
      <c r="E434" s="99"/>
      <c r="F434" s="6">
        <v>0</v>
      </c>
      <c r="G434" s="6">
        <v>0</v>
      </c>
      <c r="H434" s="6">
        <v>0</v>
      </c>
      <c r="I434" s="6">
        <v>0</v>
      </c>
      <c r="J434" s="6"/>
      <c r="K434" s="6">
        <v>0</v>
      </c>
      <c r="L434" s="5"/>
    </row>
    <row r="435" spans="3:12" x14ac:dyDescent="0.25">
      <c r="C435" s="225"/>
      <c r="D435" s="197"/>
      <c r="E435" s="99"/>
      <c r="F435" s="6">
        <v>0</v>
      </c>
      <c r="G435" s="6">
        <v>0</v>
      </c>
      <c r="H435" s="6">
        <v>0</v>
      </c>
      <c r="I435" s="6">
        <v>0</v>
      </c>
      <c r="J435" s="6"/>
      <c r="K435" s="6">
        <v>0</v>
      </c>
      <c r="L435" s="5"/>
    </row>
    <row r="436" spans="3:12" x14ac:dyDescent="0.25">
      <c r="C436" s="225"/>
      <c r="D436" s="197"/>
      <c r="E436" s="99"/>
      <c r="F436" s="6">
        <v>0</v>
      </c>
      <c r="G436" s="6">
        <v>0</v>
      </c>
      <c r="H436" s="6">
        <v>0</v>
      </c>
      <c r="I436" s="6">
        <v>0</v>
      </c>
      <c r="J436" s="6"/>
      <c r="K436" s="6">
        <v>0</v>
      </c>
      <c r="L436" s="5"/>
    </row>
    <row r="437" spans="3:12" x14ac:dyDescent="0.25">
      <c r="C437" s="225"/>
      <c r="D437" s="197"/>
      <c r="E437" s="99"/>
      <c r="F437" s="6">
        <v>0</v>
      </c>
      <c r="G437" s="6">
        <v>0</v>
      </c>
      <c r="H437" s="6">
        <v>0</v>
      </c>
      <c r="I437" s="6">
        <v>0</v>
      </c>
      <c r="J437" s="6"/>
      <c r="K437" s="6">
        <v>0</v>
      </c>
      <c r="L437" s="5"/>
    </row>
    <row r="438" spans="3:12" x14ac:dyDescent="0.25">
      <c r="C438" s="225"/>
      <c r="D438" s="197"/>
      <c r="E438" s="99"/>
      <c r="F438" s="6">
        <v>0</v>
      </c>
      <c r="G438" s="6">
        <v>0</v>
      </c>
      <c r="H438" s="6">
        <v>0</v>
      </c>
      <c r="I438" s="6">
        <v>0</v>
      </c>
      <c r="J438" s="6"/>
      <c r="K438" s="6">
        <v>0</v>
      </c>
      <c r="L438" s="5"/>
    </row>
    <row r="439" spans="3:12" x14ac:dyDescent="0.25">
      <c r="C439" s="225"/>
      <c r="D439" s="197"/>
      <c r="E439" s="99"/>
      <c r="F439" s="6">
        <v>0</v>
      </c>
      <c r="G439" s="6">
        <v>0</v>
      </c>
      <c r="H439" s="6">
        <v>0</v>
      </c>
      <c r="I439" s="6">
        <v>0</v>
      </c>
      <c r="J439" s="6"/>
      <c r="K439" s="6">
        <v>0</v>
      </c>
      <c r="L439" s="5"/>
    </row>
    <row r="440" spans="3:12" x14ac:dyDescent="0.25">
      <c r="C440" s="225"/>
      <c r="D440" s="197"/>
      <c r="E440" s="99"/>
      <c r="F440" s="6">
        <v>0</v>
      </c>
      <c r="G440" s="6">
        <v>0</v>
      </c>
      <c r="H440" s="6">
        <v>0</v>
      </c>
      <c r="I440" s="6">
        <v>0</v>
      </c>
      <c r="J440" s="6"/>
      <c r="K440" s="6">
        <v>0</v>
      </c>
      <c r="L440" s="5"/>
    </row>
    <row r="441" spans="3:12" x14ac:dyDescent="0.25">
      <c r="C441" s="226"/>
      <c r="D441" s="197"/>
      <c r="E441" s="99"/>
      <c r="F441" s="6">
        <v>0</v>
      </c>
      <c r="G441" s="6">
        <v>0</v>
      </c>
      <c r="H441" s="6">
        <v>0</v>
      </c>
      <c r="I441" s="6">
        <v>0</v>
      </c>
      <c r="J441" s="6"/>
      <c r="K441" s="6">
        <v>0</v>
      </c>
      <c r="L441" s="221">
        <f>SUM(F427:G428)</f>
        <v>191900</v>
      </c>
    </row>
    <row r="442" spans="3:12" x14ac:dyDescent="0.25">
      <c r="C442" s="101"/>
      <c r="D442" s="117"/>
      <c r="E442" s="102" t="s">
        <v>27</v>
      </c>
      <c r="F442" s="33">
        <f>SUM(F426:F441)</f>
        <v>259214</v>
      </c>
      <c r="G442" s="33">
        <f>SUM(G426:G441)</f>
        <v>150000</v>
      </c>
      <c r="H442" s="33">
        <f>SUM(H426:H441)</f>
        <v>730650</v>
      </c>
      <c r="I442" s="33">
        <f>SUM(I426:I441)</f>
        <v>0</v>
      </c>
      <c r="J442" s="33">
        <f>SUM(J426:J441)</f>
        <v>0</v>
      </c>
      <c r="K442" s="33">
        <f>SUM(F442:J442)-J442</f>
        <v>1139864</v>
      </c>
      <c r="L442" s="222">
        <f>SUM(F429:F431)+G432+G433</f>
        <v>217314</v>
      </c>
    </row>
    <row r="443" spans="3:12" x14ac:dyDescent="0.25">
      <c r="C443" s="224">
        <v>25</v>
      </c>
      <c r="D443" s="197" t="s">
        <v>40</v>
      </c>
      <c r="E443" s="99" t="s">
        <v>169</v>
      </c>
      <c r="F443" s="220">
        <v>6960</v>
      </c>
      <c r="G443" s="6">
        <v>0</v>
      </c>
      <c r="H443" s="6">
        <v>0</v>
      </c>
      <c r="I443" s="6">
        <v>0</v>
      </c>
      <c r="J443" s="6"/>
      <c r="K443" s="6">
        <v>0</v>
      </c>
      <c r="L443" s="108">
        <f>L441+L442</f>
        <v>409214</v>
      </c>
    </row>
    <row r="444" spans="3:12" x14ac:dyDescent="0.25">
      <c r="C444" s="225"/>
      <c r="D444" s="197" t="s">
        <v>34</v>
      </c>
      <c r="E444" s="99" t="s">
        <v>169</v>
      </c>
      <c r="F444" s="220">
        <v>10000</v>
      </c>
      <c r="G444" s="6">
        <v>0</v>
      </c>
      <c r="H444" s="6">
        <v>0</v>
      </c>
      <c r="I444" s="6">
        <v>0</v>
      </c>
      <c r="J444" s="6"/>
      <c r="K444" s="6">
        <v>0</v>
      </c>
      <c r="L444" s="5"/>
    </row>
    <row r="445" spans="3:12" x14ac:dyDescent="0.25">
      <c r="C445" s="225"/>
      <c r="D445" s="197" t="s">
        <v>22</v>
      </c>
      <c r="E445" s="99" t="s">
        <v>169</v>
      </c>
      <c r="F445" s="220">
        <v>238900</v>
      </c>
      <c r="G445" s="6">
        <v>0</v>
      </c>
      <c r="H445" s="6">
        <v>0</v>
      </c>
      <c r="I445" s="6">
        <v>0</v>
      </c>
      <c r="J445" s="6"/>
      <c r="K445" s="6">
        <v>0</v>
      </c>
      <c r="L445" s="5"/>
    </row>
    <row r="446" spans="3:12" x14ac:dyDescent="0.25">
      <c r="C446" s="225"/>
      <c r="D446" s="197" t="s">
        <v>139</v>
      </c>
      <c r="E446" s="99" t="s">
        <v>169</v>
      </c>
      <c r="F446" s="220">
        <v>10000</v>
      </c>
      <c r="G446" s="6">
        <v>0</v>
      </c>
      <c r="H446" s="6">
        <v>0</v>
      </c>
      <c r="I446" s="6">
        <v>0</v>
      </c>
      <c r="J446" s="6"/>
      <c r="K446" s="6">
        <v>0</v>
      </c>
      <c r="L446" s="5"/>
    </row>
    <row r="447" spans="3:12" x14ac:dyDescent="0.25">
      <c r="C447" s="225"/>
      <c r="D447" s="197" t="s">
        <v>37</v>
      </c>
      <c r="E447" s="99" t="s">
        <v>171</v>
      </c>
      <c r="F447" s="6">
        <v>0</v>
      </c>
      <c r="G447" s="220">
        <v>50000</v>
      </c>
      <c r="H447" s="6">
        <v>0</v>
      </c>
      <c r="I447" s="6">
        <v>0</v>
      </c>
      <c r="J447" s="6"/>
      <c r="K447" s="6">
        <v>0</v>
      </c>
      <c r="L447" s="5"/>
    </row>
    <row r="448" spans="3:12" x14ac:dyDescent="0.25">
      <c r="C448" s="225"/>
      <c r="D448" s="197" t="s">
        <v>40</v>
      </c>
      <c r="E448" s="99" t="s">
        <v>169</v>
      </c>
      <c r="F448" s="220">
        <v>25840</v>
      </c>
      <c r="G448" s="6">
        <v>0</v>
      </c>
      <c r="H448" s="6">
        <v>0</v>
      </c>
      <c r="I448" s="6">
        <v>0</v>
      </c>
      <c r="J448" s="6"/>
      <c r="K448" s="6">
        <v>0</v>
      </c>
      <c r="L448" s="5"/>
    </row>
    <row r="449" spans="3:12" x14ac:dyDescent="0.25">
      <c r="C449" s="225"/>
      <c r="D449" s="197" t="s">
        <v>19</v>
      </c>
      <c r="E449" s="99" t="s">
        <v>169</v>
      </c>
      <c r="F449" s="207">
        <v>8489</v>
      </c>
      <c r="G449" s="6">
        <v>0</v>
      </c>
      <c r="H449" s="6">
        <v>0</v>
      </c>
      <c r="I449" s="6">
        <v>0</v>
      </c>
      <c r="J449" s="6"/>
      <c r="K449" s="6">
        <v>0</v>
      </c>
      <c r="L449" s="5"/>
    </row>
    <row r="450" spans="3:12" x14ac:dyDescent="0.25">
      <c r="C450" s="225"/>
      <c r="D450" s="197" t="s">
        <v>18</v>
      </c>
      <c r="E450" s="99" t="s">
        <v>169</v>
      </c>
      <c r="F450" s="207">
        <v>19000</v>
      </c>
      <c r="G450" s="6">
        <v>0</v>
      </c>
      <c r="H450" s="6">
        <v>0</v>
      </c>
      <c r="I450" s="6">
        <v>0</v>
      </c>
      <c r="J450" s="6"/>
      <c r="K450" s="6">
        <v>0</v>
      </c>
      <c r="L450" s="5"/>
    </row>
    <row r="451" spans="3:12" x14ac:dyDescent="0.25">
      <c r="C451" s="225"/>
      <c r="D451" s="197" t="s">
        <v>127</v>
      </c>
      <c r="E451" s="99" t="s">
        <v>169</v>
      </c>
      <c r="F451" s="207">
        <v>139500</v>
      </c>
      <c r="G451" s="6">
        <v>0</v>
      </c>
      <c r="H451" s="6">
        <v>0</v>
      </c>
      <c r="I451" s="6">
        <v>0</v>
      </c>
      <c r="J451" s="6"/>
      <c r="K451" s="6">
        <v>0</v>
      </c>
      <c r="L451" s="5"/>
    </row>
    <row r="452" spans="3:12" x14ac:dyDescent="0.25">
      <c r="C452" s="225"/>
      <c r="D452" s="197" t="s">
        <v>145</v>
      </c>
      <c r="E452" s="99" t="s">
        <v>173</v>
      </c>
      <c r="F452" s="6">
        <v>0</v>
      </c>
      <c r="G452" s="207">
        <v>50000</v>
      </c>
      <c r="H452" s="6">
        <v>0</v>
      </c>
      <c r="I452" s="6">
        <v>0</v>
      </c>
      <c r="J452" s="6"/>
      <c r="K452" s="6">
        <v>0</v>
      </c>
      <c r="L452" s="5"/>
    </row>
    <row r="453" spans="3:12" x14ac:dyDescent="0.25">
      <c r="C453" s="225"/>
      <c r="D453" s="197" t="s">
        <v>44</v>
      </c>
      <c r="E453" s="99" t="s">
        <v>173</v>
      </c>
      <c r="F453" s="6">
        <v>0</v>
      </c>
      <c r="G453" s="214">
        <v>50000</v>
      </c>
      <c r="H453" s="6">
        <v>0</v>
      </c>
      <c r="I453" s="6">
        <v>0</v>
      </c>
      <c r="J453" s="6"/>
      <c r="K453" s="6">
        <v>0</v>
      </c>
      <c r="L453" s="5"/>
    </row>
    <row r="454" spans="3:12" x14ac:dyDescent="0.25">
      <c r="C454" s="225"/>
      <c r="D454" s="197"/>
      <c r="E454" s="99"/>
      <c r="F454" s="6">
        <v>0</v>
      </c>
      <c r="G454" s="6">
        <v>0</v>
      </c>
      <c r="H454" s="6">
        <v>0</v>
      </c>
      <c r="I454" s="6">
        <v>0</v>
      </c>
      <c r="J454" s="6"/>
      <c r="K454" s="6">
        <v>0</v>
      </c>
      <c r="L454" s="5"/>
    </row>
    <row r="455" spans="3:12" x14ac:dyDescent="0.25">
      <c r="C455" s="225"/>
      <c r="D455" s="197"/>
      <c r="E455" s="99"/>
      <c r="F455" s="6">
        <v>0</v>
      </c>
      <c r="G455" s="6">
        <v>0</v>
      </c>
      <c r="H455" s="6">
        <v>0</v>
      </c>
      <c r="I455" s="6">
        <v>0</v>
      </c>
      <c r="J455" s="6"/>
      <c r="K455" s="6">
        <v>0</v>
      </c>
      <c r="L455" s="5"/>
    </row>
    <row r="456" spans="3:12" x14ac:dyDescent="0.25">
      <c r="C456" s="225"/>
      <c r="D456" s="197"/>
      <c r="E456" s="99"/>
      <c r="F456" s="6">
        <v>0</v>
      </c>
      <c r="G456" s="6">
        <v>0</v>
      </c>
      <c r="H456" s="6">
        <v>0</v>
      </c>
      <c r="I456" s="6">
        <v>0</v>
      </c>
      <c r="J456" s="6"/>
      <c r="K456" s="6">
        <v>0</v>
      </c>
      <c r="L456" s="221">
        <f>SUM(F443:G448)</f>
        <v>341700</v>
      </c>
    </row>
    <row r="457" spans="3:12" x14ac:dyDescent="0.25">
      <c r="C457" s="225"/>
      <c r="D457" s="197"/>
      <c r="E457" s="99"/>
      <c r="F457" s="6">
        <v>0</v>
      </c>
      <c r="G457" s="6">
        <v>0</v>
      </c>
      <c r="H457" s="6">
        <v>0</v>
      </c>
      <c r="I457" s="6">
        <v>0</v>
      </c>
      <c r="J457" s="6"/>
      <c r="K457" s="6">
        <v>0</v>
      </c>
      <c r="L457" s="208">
        <f>SUM(F449:F451)+G452</f>
        <v>216989</v>
      </c>
    </row>
    <row r="458" spans="3:12" x14ac:dyDescent="0.25">
      <c r="C458" s="226"/>
      <c r="D458" s="197"/>
      <c r="E458" s="99"/>
      <c r="F458" s="6">
        <v>0</v>
      </c>
      <c r="G458" s="6">
        <v>0</v>
      </c>
      <c r="H458" s="6">
        <v>0</v>
      </c>
      <c r="I458" s="6">
        <v>0</v>
      </c>
      <c r="J458" s="6"/>
      <c r="K458" s="6">
        <v>0</v>
      </c>
      <c r="L458" s="108">
        <f>L456+L457</f>
        <v>558689</v>
      </c>
    </row>
    <row r="459" spans="3:12" x14ac:dyDescent="0.25">
      <c r="C459" s="101"/>
      <c r="D459" s="117"/>
      <c r="E459" s="102" t="s">
        <v>27</v>
      </c>
      <c r="F459" s="33">
        <f>SUM(F443:F458)</f>
        <v>458689</v>
      </c>
      <c r="G459" s="33">
        <f>SUM(G443:G458)</f>
        <v>150000</v>
      </c>
      <c r="H459" s="33">
        <f>SUM(H443:H458)</f>
        <v>0</v>
      </c>
      <c r="I459" s="33">
        <f>SUM(I443:I458)</f>
        <v>0</v>
      </c>
      <c r="J459" s="33">
        <f>SUM(J443:J458)</f>
        <v>0</v>
      </c>
      <c r="K459" s="33">
        <f>SUM(F459:J459)-J459</f>
        <v>608689</v>
      </c>
      <c r="L459" s="16"/>
    </row>
    <row r="460" spans="3:12" x14ac:dyDescent="0.25">
      <c r="C460" s="224">
        <v>26</v>
      </c>
      <c r="D460" s="197" t="s">
        <v>119</v>
      </c>
      <c r="E460" s="99" t="s">
        <v>169</v>
      </c>
      <c r="F460" s="203">
        <v>66324</v>
      </c>
      <c r="G460" s="6">
        <v>0</v>
      </c>
      <c r="H460" s="6">
        <v>0</v>
      </c>
      <c r="I460" s="6">
        <v>0</v>
      </c>
      <c r="J460" s="6"/>
      <c r="K460" s="6">
        <v>0</v>
      </c>
      <c r="L460" s="5"/>
    </row>
    <row r="461" spans="3:12" x14ac:dyDescent="0.25">
      <c r="C461" s="225"/>
      <c r="D461" s="197" t="s">
        <v>24</v>
      </c>
      <c r="E461" s="99" t="s">
        <v>169</v>
      </c>
      <c r="F461" s="203">
        <v>144161</v>
      </c>
      <c r="G461" s="6">
        <v>0</v>
      </c>
      <c r="H461" s="6">
        <v>0</v>
      </c>
      <c r="I461" s="6">
        <v>0</v>
      </c>
      <c r="J461" s="6"/>
      <c r="K461" s="6">
        <v>0</v>
      </c>
      <c r="L461" s="5"/>
    </row>
    <row r="462" spans="3:12" x14ac:dyDescent="0.25">
      <c r="C462" s="225"/>
      <c r="D462" s="197" t="s">
        <v>145</v>
      </c>
      <c r="E462" s="99" t="s">
        <v>171</v>
      </c>
      <c r="F462" s="6">
        <v>0</v>
      </c>
      <c r="G462" s="203">
        <v>55000</v>
      </c>
      <c r="H462" s="6">
        <v>0</v>
      </c>
      <c r="I462" s="6">
        <v>0</v>
      </c>
      <c r="J462" s="6"/>
      <c r="K462" s="6">
        <v>0</v>
      </c>
      <c r="L462" s="5"/>
    </row>
    <row r="463" spans="3:12" x14ac:dyDescent="0.25">
      <c r="C463" s="225"/>
      <c r="D463" s="197" t="s">
        <v>127</v>
      </c>
      <c r="E463" s="99" t="s">
        <v>169</v>
      </c>
      <c r="F463" s="207">
        <v>59500</v>
      </c>
      <c r="G463" s="6">
        <v>0</v>
      </c>
      <c r="H463" s="6">
        <v>0</v>
      </c>
      <c r="I463" s="6">
        <v>0</v>
      </c>
      <c r="J463" s="6"/>
      <c r="K463" s="6">
        <v>0</v>
      </c>
      <c r="L463" s="5"/>
    </row>
    <row r="464" spans="3:12" x14ac:dyDescent="0.25">
      <c r="C464" s="225"/>
      <c r="D464" s="99" t="s">
        <v>175</v>
      </c>
      <c r="E464" s="99" t="s">
        <v>172</v>
      </c>
      <c r="F464" s="6">
        <v>0</v>
      </c>
      <c r="G464" s="6">
        <v>0</v>
      </c>
      <c r="H464" s="6">
        <v>0</v>
      </c>
      <c r="I464" s="207">
        <v>10000</v>
      </c>
      <c r="J464" s="6"/>
      <c r="K464" s="6">
        <v>0</v>
      </c>
      <c r="L464" s="5"/>
    </row>
    <row r="465" spans="3:12" x14ac:dyDescent="0.25">
      <c r="C465" s="225"/>
      <c r="D465" s="197" t="s">
        <v>15</v>
      </c>
      <c r="E465" s="99" t="s">
        <v>169</v>
      </c>
      <c r="F465" s="207">
        <v>52500</v>
      </c>
      <c r="G465" s="6">
        <v>0</v>
      </c>
      <c r="H465" s="6">
        <v>0</v>
      </c>
      <c r="I465" s="6">
        <v>0</v>
      </c>
      <c r="J465" s="6"/>
      <c r="K465" s="6">
        <v>0</v>
      </c>
      <c r="L465" s="5"/>
    </row>
    <row r="466" spans="3:12" x14ac:dyDescent="0.25">
      <c r="C466" s="225"/>
      <c r="D466" s="197" t="s">
        <v>154</v>
      </c>
      <c r="E466" s="99" t="s">
        <v>173</v>
      </c>
      <c r="F466" s="6">
        <v>0</v>
      </c>
      <c r="G466" s="207">
        <v>55000</v>
      </c>
      <c r="H466" s="6">
        <v>0</v>
      </c>
      <c r="I466" s="6">
        <v>0</v>
      </c>
      <c r="J466" s="6"/>
      <c r="K466" s="6">
        <v>0</v>
      </c>
      <c r="L466" s="5"/>
    </row>
    <row r="467" spans="3:12" x14ac:dyDescent="0.25">
      <c r="C467" s="225"/>
      <c r="D467" s="197" t="s">
        <v>44</v>
      </c>
      <c r="E467" s="99" t="s">
        <v>173</v>
      </c>
      <c r="F467" s="6">
        <v>0</v>
      </c>
      <c r="G467" s="207">
        <v>55000</v>
      </c>
      <c r="H467" s="6">
        <v>0</v>
      </c>
      <c r="I467" s="6">
        <v>0</v>
      </c>
      <c r="J467" s="6"/>
      <c r="K467" s="6">
        <v>0</v>
      </c>
      <c r="L467" s="5"/>
    </row>
    <row r="468" spans="3:12" x14ac:dyDescent="0.25">
      <c r="C468" s="225"/>
      <c r="D468" s="197"/>
      <c r="E468" s="99"/>
      <c r="F468" s="6">
        <v>0</v>
      </c>
      <c r="G468" s="6">
        <v>0</v>
      </c>
      <c r="H468" s="6">
        <v>0</v>
      </c>
      <c r="I468" s="6">
        <v>0</v>
      </c>
      <c r="J468" s="6"/>
      <c r="K468" s="6">
        <v>0</v>
      </c>
      <c r="L468" s="5"/>
    </row>
    <row r="469" spans="3:12" x14ac:dyDescent="0.25">
      <c r="C469" s="225"/>
      <c r="D469" s="197"/>
      <c r="E469" s="99"/>
      <c r="F469" s="6">
        <v>0</v>
      </c>
      <c r="G469" s="6">
        <v>0</v>
      </c>
      <c r="H469" s="6">
        <v>0</v>
      </c>
      <c r="I469" s="6">
        <v>0</v>
      </c>
      <c r="J469" s="6"/>
      <c r="K469" s="6">
        <v>0</v>
      </c>
      <c r="L469" s="5"/>
    </row>
    <row r="470" spans="3:12" x14ac:dyDescent="0.25">
      <c r="C470" s="225"/>
      <c r="D470" s="197"/>
      <c r="E470" s="99"/>
      <c r="F470" s="6">
        <v>0</v>
      </c>
      <c r="G470" s="6">
        <v>0</v>
      </c>
      <c r="H470" s="6">
        <v>0</v>
      </c>
      <c r="I470" s="6">
        <v>0</v>
      </c>
      <c r="J470" s="6"/>
      <c r="K470" s="6">
        <v>0</v>
      </c>
      <c r="L470" s="5"/>
    </row>
    <row r="471" spans="3:12" x14ac:dyDescent="0.25">
      <c r="C471" s="225"/>
      <c r="D471" s="197"/>
      <c r="E471" s="99"/>
      <c r="F471" s="6">
        <v>0</v>
      </c>
      <c r="G471" s="6">
        <v>0</v>
      </c>
      <c r="H471" s="6">
        <v>0</v>
      </c>
      <c r="I471" s="6">
        <v>0</v>
      </c>
      <c r="J471" s="6"/>
      <c r="K471" s="6">
        <v>0</v>
      </c>
      <c r="L471" s="5"/>
    </row>
    <row r="472" spans="3:12" x14ac:dyDescent="0.25">
      <c r="C472" s="225"/>
      <c r="D472" s="197"/>
      <c r="E472" s="99"/>
      <c r="F472" s="6">
        <v>0</v>
      </c>
      <c r="G472" s="6">
        <v>0</v>
      </c>
      <c r="H472" s="6">
        <v>0</v>
      </c>
      <c r="I472" s="6">
        <v>0</v>
      </c>
      <c r="J472" s="6"/>
      <c r="K472" s="6">
        <v>0</v>
      </c>
      <c r="L472" s="5"/>
    </row>
    <row r="473" spans="3:12" x14ac:dyDescent="0.25">
      <c r="C473" s="225"/>
      <c r="D473" s="197"/>
      <c r="E473" s="99"/>
      <c r="F473" s="6">
        <v>0</v>
      </c>
      <c r="G473" s="6">
        <v>0</v>
      </c>
      <c r="H473" s="6">
        <v>0</v>
      </c>
      <c r="I473" s="6">
        <v>0</v>
      </c>
      <c r="J473" s="6"/>
      <c r="K473" s="6">
        <v>0</v>
      </c>
      <c r="L473" s="206">
        <f>SUM(F460+F461+G462)</f>
        <v>265485</v>
      </c>
    </row>
    <row r="474" spans="3:12" x14ac:dyDescent="0.25">
      <c r="C474" s="225"/>
      <c r="D474" s="197"/>
      <c r="E474" s="99"/>
      <c r="F474" s="6">
        <v>0</v>
      </c>
      <c r="G474" s="6">
        <v>0</v>
      </c>
      <c r="H474" s="6">
        <v>0</v>
      </c>
      <c r="I474" s="6">
        <v>0</v>
      </c>
      <c r="J474" s="6"/>
      <c r="K474" s="6">
        <v>0</v>
      </c>
      <c r="L474" s="208">
        <f>SUM(G466:G467)+F463+F465+I464</f>
        <v>232000</v>
      </c>
    </row>
    <row r="475" spans="3:12" x14ac:dyDescent="0.25">
      <c r="C475" s="226"/>
      <c r="D475" s="197"/>
      <c r="E475" s="99"/>
      <c r="F475" s="6">
        <v>0</v>
      </c>
      <c r="G475" s="6">
        <v>0</v>
      </c>
      <c r="H475" s="6">
        <v>0</v>
      </c>
      <c r="I475" s="6">
        <v>0</v>
      </c>
      <c r="J475" s="6"/>
      <c r="K475" s="6">
        <v>0</v>
      </c>
      <c r="L475" s="108">
        <f>L473+L474</f>
        <v>497485</v>
      </c>
    </row>
    <row r="476" spans="3:12" x14ac:dyDescent="0.25">
      <c r="C476" s="101"/>
      <c r="D476" s="117"/>
      <c r="E476" s="102" t="s">
        <v>27</v>
      </c>
      <c r="F476" s="33">
        <f>SUM(F460:F475)</f>
        <v>322485</v>
      </c>
      <c r="G476" s="33">
        <f>SUM(G460:G475)</f>
        <v>165000</v>
      </c>
      <c r="H476" s="33">
        <f>SUM(H460:H475)</f>
        <v>0</v>
      </c>
      <c r="I476" s="33">
        <f>SUM(I460:I475)</f>
        <v>10000</v>
      </c>
      <c r="J476" s="33">
        <f>SUM(J460:J475)</f>
        <v>0</v>
      </c>
      <c r="K476" s="33">
        <f>SUM(F476:J476)-J476</f>
        <v>497485</v>
      </c>
      <c r="L476" s="16"/>
    </row>
    <row r="477" spans="3:12" x14ac:dyDescent="0.25">
      <c r="C477" s="224">
        <v>27</v>
      </c>
      <c r="D477" s="99" t="s">
        <v>216</v>
      </c>
      <c r="E477" s="99" t="s">
        <v>169</v>
      </c>
      <c r="F477" s="203">
        <v>40050</v>
      </c>
      <c r="G477" s="6">
        <v>0</v>
      </c>
      <c r="H477" s="6">
        <v>0</v>
      </c>
      <c r="I477" s="6">
        <v>0</v>
      </c>
      <c r="J477" s="6"/>
      <c r="K477" s="6">
        <v>0</v>
      </c>
      <c r="L477" s="5"/>
    </row>
    <row r="478" spans="3:12" x14ac:dyDescent="0.25">
      <c r="C478" s="225"/>
      <c r="D478" s="197" t="s">
        <v>34</v>
      </c>
      <c r="E478" s="99" t="s">
        <v>169</v>
      </c>
      <c r="F478" s="203">
        <v>10000</v>
      </c>
      <c r="G478" s="6">
        <v>0</v>
      </c>
      <c r="H478" s="6">
        <v>0</v>
      </c>
      <c r="I478" s="6">
        <v>0</v>
      </c>
      <c r="J478" s="6"/>
      <c r="K478" s="6">
        <v>0</v>
      </c>
      <c r="L478" s="5"/>
    </row>
    <row r="479" spans="3:12" x14ac:dyDescent="0.25">
      <c r="C479" s="225"/>
      <c r="D479" s="197" t="s">
        <v>23</v>
      </c>
      <c r="E479" s="99" t="s">
        <v>169</v>
      </c>
      <c r="F479" s="203">
        <v>10804</v>
      </c>
      <c r="G479" s="6">
        <v>0</v>
      </c>
      <c r="H479" s="6">
        <v>0</v>
      </c>
      <c r="I479" s="6">
        <v>0</v>
      </c>
      <c r="J479" s="6"/>
      <c r="K479" s="6">
        <v>0</v>
      </c>
      <c r="L479" s="5"/>
    </row>
    <row r="480" spans="3:12" x14ac:dyDescent="0.25">
      <c r="C480" s="225"/>
      <c r="D480" s="197" t="s">
        <v>23</v>
      </c>
      <c r="E480" s="99" t="s">
        <v>169</v>
      </c>
      <c r="F480" s="203">
        <v>44550</v>
      </c>
      <c r="G480" s="6">
        <v>0</v>
      </c>
      <c r="H480" s="6">
        <v>0</v>
      </c>
      <c r="I480" s="6">
        <v>0</v>
      </c>
      <c r="J480" s="6"/>
      <c r="K480" s="6">
        <v>0</v>
      </c>
      <c r="L480" s="5"/>
    </row>
    <row r="481" spans="3:12" x14ac:dyDescent="0.25">
      <c r="C481" s="225"/>
      <c r="D481" s="197" t="s">
        <v>40</v>
      </c>
      <c r="E481" s="99" t="s">
        <v>169</v>
      </c>
      <c r="F481" s="203">
        <v>10990</v>
      </c>
      <c r="G481" s="6">
        <v>0</v>
      </c>
      <c r="H481" s="6">
        <v>0</v>
      </c>
      <c r="I481" s="6">
        <v>0</v>
      </c>
      <c r="J481" s="6"/>
      <c r="K481" s="6">
        <v>0</v>
      </c>
      <c r="L481" s="5"/>
    </row>
    <row r="482" spans="3:12" x14ac:dyDescent="0.25">
      <c r="C482" s="225"/>
      <c r="D482" s="197" t="s">
        <v>145</v>
      </c>
      <c r="E482" s="99" t="s">
        <v>171</v>
      </c>
      <c r="F482" s="6">
        <v>0</v>
      </c>
      <c r="G482" s="203">
        <v>50000</v>
      </c>
      <c r="H482" s="6">
        <v>0</v>
      </c>
      <c r="I482" s="6">
        <v>0</v>
      </c>
      <c r="J482" s="6"/>
      <c r="K482" s="6">
        <v>0</v>
      </c>
      <c r="L482" s="5"/>
    </row>
    <row r="483" spans="3:12" x14ac:dyDescent="0.25">
      <c r="C483" s="225"/>
      <c r="D483" s="197" t="s">
        <v>19</v>
      </c>
      <c r="E483" s="99" t="s">
        <v>169</v>
      </c>
      <c r="F483" s="207">
        <v>14566</v>
      </c>
      <c r="G483" s="6">
        <v>0</v>
      </c>
      <c r="H483" s="6">
        <v>0</v>
      </c>
      <c r="I483" s="6">
        <v>0</v>
      </c>
      <c r="J483" s="6"/>
      <c r="K483" s="6">
        <v>0</v>
      </c>
      <c r="L483" s="5"/>
    </row>
    <row r="484" spans="3:12" x14ac:dyDescent="0.25">
      <c r="C484" s="225"/>
      <c r="D484" s="197" t="s">
        <v>106</v>
      </c>
      <c r="E484" s="99" t="s">
        <v>169</v>
      </c>
      <c r="F484" s="207">
        <v>19860</v>
      </c>
      <c r="G484" s="6">
        <v>0</v>
      </c>
      <c r="H484" s="6">
        <v>0</v>
      </c>
      <c r="I484" s="6">
        <v>0</v>
      </c>
      <c r="J484" s="6"/>
      <c r="K484" s="6">
        <v>0</v>
      </c>
      <c r="L484" s="5"/>
    </row>
    <row r="485" spans="3:12" x14ac:dyDescent="0.25">
      <c r="C485" s="225"/>
      <c r="D485" s="197" t="s">
        <v>37</v>
      </c>
      <c r="E485" s="99" t="s">
        <v>173</v>
      </c>
      <c r="F485" s="6">
        <v>0</v>
      </c>
      <c r="G485" s="207">
        <v>50000</v>
      </c>
      <c r="H485" s="6">
        <v>0</v>
      </c>
      <c r="I485" s="6">
        <v>0</v>
      </c>
      <c r="J485" s="6"/>
      <c r="K485" s="6">
        <v>0</v>
      </c>
      <c r="L485" s="5"/>
    </row>
    <row r="486" spans="3:12" x14ac:dyDescent="0.25">
      <c r="C486" s="225"/>
      <c r="D486" s="197" t="s">
        <v>154</v>
      </c>
      <c r="E486" s="99" t="s">
        <v>173</v>
      </c>
      <c r="F486" s="6">
        <v>0</v>
      </c>
      <c r="G486" s="207">
        <v>50000</v>
      </c>
      <c r="H486" s="6">
        <v>0</v>
      </c>
      <c r="I486" s="6">
        <v>0</v>
      </c>
      <c r="J486" s="6"/>
      <c r="K486" s="6">
        <v>0</v>
      </c>
      <c r="L486" s="5"/>
    </row>
    <row r="487" spans="3:12" x14ac:dyDescent="0.25">
      <c r="C487" s="225"/>
      <c r="D487" s="197" t="s">
        <v>127</v>
      </c>
      <c r="E487" s="99" t="s">
        <v>169</v>
      </c>
      <c r="F487" s="207">
        <v>147000</v>
      </c>
      <c r="G487" s="6">
        <v>0</v>
      </c>
      <c r="H487" s="6">
        <v>0</v>
      </c>
      <c r="I487" s="6">
        <v>0</v>
      </c>
      <c r="J487" s="6"/>
      <c r="K487" s="6">
        <v>0</v>
      </c>
      <c r="L487" s="5"/>
    </row>
    <row r="488" spans="3:12" x14ac:dyDescent="0.25">
      <c r="C488" s="225"/>
      <c r="D488" s="197"/>
      <c r="E488" s="99"/>
      <c r="F488" s="6">
        <v>0</v>
      </c>
      <c r="G488" s="6">
        <v>0</v>
      </c>
      <c r="H488" s="6">
        <v>0</v>
      </c>
      <c r="I488" s="6">
        <v>0</v>
      </c>
      <c r="J488" s="6"/>
      <c r="K488" s="6">
        <v>0</v>
      </c>
      <c r="L488" s="5"/>
    </row>
    <row r="489" spans="3:12" x14ac:dyDescent="0.25">
      <c r="C489" s="225"/>
      <c r="D489" s="197"/>
      <c r="E489" s="99"/>
      <c r="F489" s="6">
        <v>0</v>
      </c>
      <c r="G489" s="6">
        <v>0</v>
      </c>
      <c r="H489" s="6">
        <v>0</v>
      </c>
      <c r="I489" s="6">
        <v>0</v>
      </c>
      <c r="J489" s="6"/>
      <c r="K489" s="6">
        <v>0</v>
      </c>
      <c r="L489" s="5"/>
    </row>
    <row r="490" spans="3:12" x14ac:dyDescent="0.25">
      <c r="C490" s="225"/>
      <c r="D490" s="197"/>
      <c r="E490" s="99"/>
      <c r="F490" s="6">
        <v>0</v>
      </c>
      <c r="G490" s="6">
        <v>0</v>
      </c>
      <c r="H490" s="6">
        <v>0</v>
      </c>
      <c r="I490" s="6">
        <v>0</v>
      </c>
      <c r="J490" s="6"/>
      <c r="K490" s="6">
        <v>0</v>
      </c>
      <c r="L490" s="206">
        <f>SUM(F477+F478+F479+F480+F481+G482)</f>
        <v>166394</v>
      </c>
    </row>
    <row r="491" spans="3:12" x14ac:dyDescent="0.25">
      <c r="C491" s="225"/>
      <c r="D491" s="197"/>
      <c r="E491" s="99"/>
      <c r="F491" s="6">
        <v>0</v>
      </c>
      <c r="G491" s="6">
        <v>0</v>
      </c>
      <c r="H491" s="6">
        <v>0</v>
      </c>
      <c r="I491" s="6">
        <v>0</v>
      </c>
      <c r="J491" s="6"/>
      <c r="K491" s="6">
        <v>0</v>
      </c>
      <c r="L491" s="208">
        <f>SUM(F483:G487)</f>
        <v>281426</v>
      </c>
    </row>
    <row r="492" spans="3:12" x14ac:dyDescent="0.25">
      <c r="C492" s="226"/>
      <c r="D492" s="197"/>
      <c r="E492" s="99"/>
      <c r="F492" s="6">
        <v>0</v>
      </c>
      <c r="G492" s="6">
        <v>0</v>
      </c>
      <c r="H492" s="6">
        <v>0</v>
      </c>
      <c r="I492" s="6">
        <v>0</v>
      </c>
      <c r="J492" s="6"/>
      <c r="K492" s="6">
        <v>0</v>
      </c>
      <c r="L492" s="5"/>
    </row>
    <row r="493" spans="3:12" x14ac:dyDescent="0.25">
      <c r="C493" s="101"/>
      <c r="D493" s="117"/>
      <c r="E493" s="102" t="s">
        <v>27</v>
      </c>
      <c r="F493" s="33">
        <f>SUM(F477:F492)</f>
        <v>297820</v>
      </c>
      <c r="G493" s="33">
        <f>SUM(G477:G492)</f>
        <v>150000</v>
      </c>
      <c r="H493" s="33">
        <f>SUM(H477:H492)</f>
        <v>0</v>
      </c>
      <c r="I493" s="33">
        <f>SUM(I477:I492)</f>
        <v>0</v>
      </c>
      <c r="J493" s="33">
        <f>SUM(J477:J492)</f>
        <v>0</v>
      </c>
      <c r="K493" s="33">
        <f>SUM(F493:J493)-J493</f>
        <v>447820</v>
      </c>
      <c r="L493" s="16"/>
    </row>
    <row r="494" spans="3:12" x14ac:dyDescent="0.25">
      <c r="C494" s="224">
        <v>28</v>
      </c>
      <c r="D494" s="197" t="s">
        <v>34</v>
      </c>
      <c r="E494" s="15" t="s">
        <v>169</v>
      </c>
      <c r="F494" s="200">
        <v>10000</v>
      </c>
      <c r="G494" s="6">
        <v>0</v>
      </c>
      <c r="H494" s="6">
        <v>0</v>
      </c>
      <c r="I494" s="6">
        <v>0</v>
      </c>
      <c r="J494" s="6"/>
      <c r="K494" s="6">
        <v>0</v>
      </c>
      <c r="L494" s="5"/>
    </row>
    <row r="495" spans="3:12" x14ac:dyDescent="0.25">
      <c r="C495" s="225"/>
      <c r="D495" s="197" t="s">
        <v>40</v>
      </c>
      <c r="E495" s="99" t="s">
        <v>169</v>
      </c>
      <c r="F495" s="200">
        <v>21270</v>
      </c>
      <c r="G495" s="6">
        <v>0</v>
      </c>
      <c r="H495" s="6">
        <v>0</v>
      </c>
      <c r="I495" s="6">
        <v>0</v>
      </c>
      <c r="J495" s="6"/>
      <c r="K495" s="6">
        <v>0</v>
      </c>
      <c r="L495" s="5"/>
    </row>
    <row r="496" spans="3:12" x14ac:dyDescent="0.25">
      <c r="C496" s="225"/>
      <c r="D496" s="197" t="s">
        <v>37</v>
      </c>
      <c r="E496" s="99" t="s">
        <v>171</v>
      </c>
      <c r="F496" s="6">
        <v>0</v>
      </c>
      <c r="G496" s="200">
        <v>60000</v>
      </c>
      <c r="H496" s="6">
        <v>0</v>
      </c>
      <c r="I496" s="6">
        <v>0</v>
      </c>
      <c r="J496" s="6"/>
      <c r="K496" s="6">
        <v>0</v>
      </c>
      <c r="L496" s="5"/>
    </row>
    <row r="497" spans="3:12" x14ac:dyDescent="0.25">
      <c r="C497" s="225"/>
      <c r="D497" s="197" t="s">
        <v>22</v>
      </c>
      <c r="E497" s="99" t="s">
        <v>169</v>
      </c>
      <c r="F497" s="201">
        <v>124000</v>
      </c>
      <c r="G497" s="6">
        <v>0</v>
      </c>
      <c r="H497" s="6">
        <v>0</v>
      </c>
      <c r="I497" s="6">
        <v>0</v>
      </c>
      <c r="J497" s="6"/>
      <c r="K497" s="6">
        <v>0</v>
      </c>
      <c r="L497" s="5"/>
    </row>
    <row r="498" spans="3:12" x14ac:dyDescent="0.25">
      <c r="C498" s="225"/>
      <c r="D498" s="197" t="s">
        <v>148</v>
      </c>
      <c r="E498" s="99" t="s">
        <v>169</v>
      </c>
      <c r="F498" s="201">
        <v>28600</v>
      </c>
      <c r="G498" s="6">
        <v>0</v>
      </c>
      <c r="H498" s="6">
        <v>0</v>
      </c>
      <c r="I498" s="6">
        <v>0</v>
      </c>
      <c r="J498" s="6"/>
      <c r="K498" s="6">
        <v>0</v>
      </c>
      <c r="L498" s="5"/>
    </row>
    <row r="499" spans="3:12" x14ac:dyDescent="0.25">
      <c r="C499" s="225"/>
      <c r="D499" s="197" t="s">
        <v>44</v>
      </c>
      <c r="E499" s="99" t="s">
        <v>173</v>
      </c>
      <c r="F499" s="6">
        <v>0</v>
      </c>
      <c r="G499" s="201">
        <v>65000</v>
      </c>
      <c r="H499" s="6">
        <v>0</v>
      </c>
      <c r="I499" s="6">
        <v>0</v>
      </c>
      <c r="J499" s="6"/>
      <c r="K499" s="6">
        <v>0</v>
      </c>
      <c r="L499" s="5"/>
    </row>
    <row r="500" spans="3:12" x14ac:dyDescent="0.25">
      <c r="C500" s="225"/>
      <c r="D500" s="197" t="s">
        <v>145</v>
      </c>
      <c r="E500" s="99" t="s">
        <v>173</v>
      </c>
      <c r="F500" s="6">
        <v>0</v>
      </c>
      <c r="G500" s="201">
        <v>65000</v>
      </c>
      <c r="H500" s="6">
        <v>0</v>
      </c>
      <c r="I500" s="6">
        <v>0</v>
      </c>
      <c r="J500" s="6"/>
      <c r="K500" s="6">
        <v>0</v>
      </c>
      <c r="L500" s="5"/>
    </row>
    <row r="501" spans="3:12" x14ac:dyDescent="0.25">
      <c r="C501" s="225"/>
      <c r="D501" s="197"/>
      <c r="E501" s="99"/>
      <c r="F501" s="6">
        <v>0</v>
      </c>
      <c r="G501" s="6">
        <v>0</v>
      </c>
      <c r="H501" s="6">
        <v>0</v>
      </c>
      <c r="I501" s="6">
        <v>0</v>
      </c>
      <c r="J501" s="6"/>
      <c r="K501" s="6">
        <v>0</v>
      </c>
      <c r="L501" s="5"/>
    </row>
    <row r="502" spans="3:12" x14ac:dyDescent="0.25">
      <c r="C502" s="225"/>
      <c r="D502" s="197"/>
      <c r="E502" s="99"/>
      <c r="F502" s="6">
        <v>0</v>
      </c>
      <c r="G502" s="6">
        <v>0</v>
      </c>
      <c r="H502" s="6">
        <v>0</v>
      </c>
      <c r="I502" s="6">
        <v>0</v>
      </c>
      <c r="J502" s="6"/>
      <c r="K502" s="6">
        <v>0</v>
      </c>
      <c r="L502" s="5"/>
    </row>
    <row r="503" spans="3:12" x14ac:dyDescent="0.25">
      <c r="C503" s="225"/>
      <c r="D503" s="197"/>
      <c r="E503" s="99"/>
      <c r="F503" s="6">
        <v>0</v>
      </c>
      <c r="G503" s="6">
        <v>0</v>
      </c>
      <c r="H503" s="6">
        <v>0</v>
      </c>
      <c r="I503" s="6">
        <v>0</v>
      </c>
      <c r="J503" s="6"/>
      <c r="K503" s="6">
        <v>0</v>
      </c>
      <c r="L503" s="5"/>
    </row>
    <row r="504" spans="3:12" x14ac:dyDescent="0.25">
      <c r="C504" s="225"/>
      <c r="D504" s="197"/>
      <c r="E504" s="99"/>
      <c r="F504" s="6">
        <v>0</v>
      </c>
      <c r="G504" s="6">
        <v>0</v>
      </c>
      <c r="H504" s="6">
        <v>0</v>
      </c>
      <c r="I504" s="6">
        <v>0</v>
      </c>
      <c r="J504" s="6"/>
      <c r="K504" s="6">
        <v>0</v>
      </c>
      <c r="L504" s="5"/>
    </row>
    <row r="505" spans="3:12" x14ac:dyDescent="0.25">
      <c r="C505" s="225"/>
      <c r="D505" s="197"/>
      <c r="E505" s="99"/>
      <c r="F505" s="6">
        <v>0</v>
      </c>
      <c r="G505" s="6">
        <v>0</v>
      </c>
      <c r="H505" s="6">
        <v>0</v>
      </c>
      <c r="I505" s="6">
        <v>0</v>
      </c>
      <c r="J505" s="6"/>
      <c r="K505" s="6">
        <v>0</v>
      </c>
      <c r="L505" s="5"/>
    </row>
    <row r="506" spans="3:12" x14ac:dyDescent="0.25">
      <c r="C506" s="225"/>
      <c r="D506" s="197"/>
      <c r="E506" s="99"/>
      <c r="F506" s="6">
        <v>0</v>
      </c>
      <c r="G506" s="6">
        <v>0</v>
      </c>
      <c r="H506" s="6">
        <v>0</v>
      </c>
      <c r="I506" s="6">
        <v>0</v>
      </c>
      <c r="J506" s="6"/>
      <c r="K506" s="6">
        <v>0</v>
      </c>
      <c r="L506" s="5"/>
    </row>
    <row r="507" spans="3:12" x14ac:dyDescent="0.25">
      <c r="C507" s="225"/>
      <c r="D507" s="197"/>
      <c r="E507" s="99"/>
      <c r="F507" s="6">
        <v>0</v>
      </c>
      <c r="G507" s="6">
        <v>0</v>
      </c>
      <c r="H507" s="6">
        <v>0</v>
      </c>
      <c r="I507" s="6">
        <v>0</v>
      </c>
      <c r="J507" s="6"/>
      <c r="K507" s="6">
        <v>0</v>
      </c>
      <c r="L507" s="198">
        <f>SUM(F494:G496)</f>
        <v>91270</v>
      </c>
    </row>
    <row r="508" spans="3:12" x14ac:dyDescent="0.25">
      <c r="C508" s="225"/>
      <c r="D508" s="197"/>
      <c r="E508" s="99"/>
      <c r="F508" s="6">
        <v>0</v>
      </c>
      <c r="G508" s="6">
        <v>0</v>
      </c>
      <c r="H508" s="6">
        <v>0</v>
      </c>
      <c r="I508" s="6">
        <v>0</v>
      </c>
      <c r="J508" s="6"/>
      <c r="K508" s="6">
        <v>0</v>
      </c>
      <c r="L508" s="202">
        <f>SUM(F497+F498+G499+G500)</f>
        <v>282600</v>
      </c>
    </row>
    <row r="509" spans="3:12" x14ac:dyDescent="0.25">
      <c r="C509" s="226"/>
      <c r="D509" s="197"/>
      <c r="E509" s="99"/>
      <c r="F509" s="6">
        <v>0</v>
      </c>
      <c r="G509" s="6">
        <v>0</v>
      </c>
      <c r="H509" s="6">
        <v>0</v>
      </c>
      <c r="I509" s="6">
        <v>0</v>
      </c>
      <c r="J509" s="6"/>
      <c r="K509" s="6">
        <v>0</v>
      </c>
      <c r="L509" s="5"/>
    </row>
    <row r="510" spans="3:12" x14ac:dyDescent="0.25">
      <c r="C510" s="101"/>
      <c r="D510" s="117"/>
      <c r="E510" s="102" t="s">
        <v>27</v>
      </c>
      <c r="F510" s="33">
        <f>SUM(F494:F509)</f>
        <v>183870</v>
      </c>
      <c r="G510" s="33">
        <f>SUM(G494:G509)</f>
        <v>190000</v>
      </c>
      <c r="H510" s="33">
        <f>SUM(H494:H509)</f>
        <v>0</v>
      </c>
      <c r="I510" s="33">
        <f>SUM(I494:I509)</f>
        <v>0</v>
      </c>
      <c r="J510" s="33">
        <f>SUM(J494:J509)</f>
        <v>0</v>
      </c>
      <c r="K510" s="33">
        <f>SUM(F510:J510)-J510</f>
        <v>373870</v>
      </c>
      <c r="L510" s="16"/>
    </row>
    <row r="511" spans="3:12" x14ac:dyDescent="0.25">
      <c r="C511" s="224">
        <v>29</v>
      </c>
      <c r="D511" s="197" t="s">
        <v>101</v>
      </c>
      <c r="E511" s="15" t="s">
        <v>186</v>
      </c>
      <c r="F511" s="203">
        <v>9580</v>
      </c>
      <c r="G511" s="6">
        <v>0</v>
      </c>
      <c r="H511" s="6">
        <v>0</v>
      </c>
      <c r="I511" s="6">
        <v>0</v>
      </c>
      <c r="J511" s="6"/>
      <c r="K511" s="6">
        <v>0</v>
      </c>
      <c r="L511" s="5"/>
    </row>
    <row r="512" spans="3:12" x14ac:dyDescent="0.25">
      <c r="C512" s="225"/>
      <c r="D512" s="197" t="s">
        <v>145</v>
      </c>
      <c r="E512" s="99" t="s">
        <v>171</v>
      </c>
      <c r="F512" s="6">
        <v>0</v>
      </c>
      <c r="G512" s="203">
        <v>55000</v>
      </c>
      <c r="H512" s="6">
        <v>0</v>
      </c>
      <c r="I512" s="6">
        <v>0</v>
      </c>
      <c r="J512" s="6"/>
      <c r="K512" s="6">
        <v>0</v>
      </c>
      <c r="L512" s="5"/>
    </row>
    <row r="513" spans="3:12" x14ac:dyDescent="0.25">
      <c r="C513" s="225"/>
      <c r="D513" s="99" t="s">
        <v>219</v>
      </c>
      <c r="E513" s="99" t="s">
        <v>219</v>
      </c>
      <c r="F513" s="6">
        <v>0</v>
      </c>
      <c r="G513" s="6">
        <v>0</v>
      </c>
      <c r="H513" s="6">
        <v>0</v>
      </c>
      <c r="I513" s="199">
        <v>18000</v>
      </c>
      <c r="J513" s="6"/>
      <c r="K513" s="6">
        <v>0</v>
      </c>
      <c r="L513" s="5"/>
    </row>
    <row r="514" spans="3:12" x14ac:dyDescent="0.25">
      <c r="C514" s="225"/>
      <c r="D514" s="197" t="s">
        <v>127</v>
      </c>
      <c r="E514" s="99" t="s">
        <v>169</v>
      </c>
      <c r="F514" s="207">
        <v>68300</v>
      </c>
      <c r="G514" s="6">
        <v>0</v>
      </c>
      <c r="H514" s="6">
        <v>0</v>
      </c>
      <c r="I514" s="6">
        <v>0</v>
      </c>
      <c r="J514" s="6"/>
      <c r="K514" s="6">
        <v>0</v>
      </c>
      <c r="L514" s="5"/>
    </row>
    <row r="515" spans="3:12" x14ac:dyDescent="0.25">
      <c r="C515" s="225"/>
      <c r="D515" s="197" t="s">
        <v>46</v>
      </c>
      <c r="E515" s="99" t="s">
        <v>172</v>
      </c>
      <c r="F515" s="6">
        <v>0</v>
      </c>
      <c r="G515" s="6">
        <v>0</v>
      </c>
      <c r="H515" s="6">
        <v>0</v>
      </c>
      <c r="I515" s="207">
        <v>10000</v>
      </c>
      <c r="J515" s="6"/>
      <c r="K515" s="6">
        <v>0</v>
      </c>
      <c r="L515" s="5"/>
    </row>
    <row r="516" spans="3:12" x14ac:dyDescent="0.25">
      <c r="C516" s="225"/>
      <c r="D516" s="197" t="s">
        <v>40</v>
      </c>
      <c r="E516" s="99" t="s">
        <v>169</v>
      </c>
      <c r="F516" s="207">
        <v>47370</v>
      </c>
      <c r="G516" s="6">
        <v>0</v>
      </c>
      <c r="H516" s="6">
        <v>0</v>
      </c>
      <c r="I516" s="6">
        <v>0</v>
      </c>
      <c r="J516" s="6"/>
      <c r="K516" s="6">
        <v>0</v>
      </c>
      <c r="L516" s="5"/>
    </row>
    <row r="517" spans="3:12" x14ac:dyDescent="0.25">
      <c r="C517" s="225"/>
      <c r="D517" s="197" t="s">
        <v>19</v>
      </c>
      <c r="E517" s="99" t="s">
        <v>169</v>
      </c>
      <c r="F517" s="207">
        <v>111260</v>
      </c>
      <c r="G517" s="6">
        <v>0</v>
      </c>
      <c r="H517" s="6">
        <v>0</v>
      </c>
      <c r="I517" s="6">
        <v>0</v>
      </c>
      <c r="J517" s="6"/>
      <c r="K517" s="6">
        <v>0</v>
      </c>
      <c r="L517" s="5"/>
    </row>
    <row r="518" spans="3:12" x14ac:dyDescent="0.25">
      <c r="C518" s="225"/>
      <c r="D518" s="197" t="s">
        <v>18</v>
      </c>
      <c r="E518" s="99" t="s">
        <v>169</v>
      </c>
      <c r="F518" s="207">
        <v>10850</v>
      </c>
      <c r="G518" s="6">
        <v>0</v>
      </c>
      <c r="H518" s="6">
        <v>0</v>
      </c>
      <c r="I518" s="6">
        <v>0</v>
      </c>
      <c r="J518" s="6"/>
      <c r="K518" s="6">
        <v>0</v>
      </c>
      <c r="L518" s="5"/>
    </row>
    <row r="519" spans="3:12" x14ac:dyDescent="0.25">
      <c r="C519" s="225"/>
      <c r="D519" s="197" t="s">
        <v>37</v>
      </c>
      <c r="E519" s="99" t="s">
        <v>173</v>
      </c>
      <c r="F519" s="6">
        <v>0</v>
      </c>
      <c r="G519" s="207">
        <v>55000</v>
      </c>
      <c r="H519" s="6">
        <v>0</v>
      </c>
      <c r="I519" s="6">
        <v>0</v>
      </c>
      <c r="J519" s="6"/>
      <c r="K519" s="6">
        <v>0</v>
      </c>
      <c r="L519" s="5"/>
    </row>
    <row r="520" spans="3:12" x14ac:dyDescent="0.25">
      <c r="C520" s="225"/>
      <c r="D520" s="197" t="s">
        <v>44</v>
      </c>
      <c r="E520" s="99" t="s">
        <v>173</v>
      </c>
      <c r="F520" s="6">
        <v>0</v>
      </c>
      <c r="G520" s="214">
        <v>55000</v>
      </c>
      <c r="H520" s="6">
        <v>0</v>
      </c>
      <c r="I520" s="6">
        <v>0</v>
      </c>
      <c r="J520" s="6"/>
      <c r="K520" s="6">
        <v>0</v>
      </c>
      <c r="L520" s="5"/>
    </row>
    <row r="521" spans="3:12" x14ac:dyDescent="0.25">
      <c r="C521" s="225"/>
      <c r="D521" s="197" t="s">
        <v>123</v>
      </c>
      <c r="E521" s="99" t="s">
        <v>220</v>
      </c>
      <c r="F521" s="6">
        <v>0</v>
      </c>
      <c r="G521" s="214">
        <v>16000</v>
      </c>
      <c r="H521" s="6">
        <v>0</v>
      </c>
      <c r="I521" s="6">
        <v>0</v>
      </c>
      <c r="J521" s="6"/>
      <c r="K521" s="6">
        <v>0</v>
      </c>
      <c r="L521" s="5"/>
    </row>
    <row r="522" spans="3:12" x14ac:dyDescent="0.25">
      <c r="C522" s="225"/>
      <c r="D522" s="197"/>
      <c r="E522" s="99"/>
      <c r="F522" s="6">
        <v>0</v>
      </c>
      <c r="G522" s="6">
        <v>0</v>
      </c>
      <c r="H522" s="6">
        <v>0</v>
      </c>
      <c r="I522" s="6">
        <v>0</v>
      </c>
      <c r="J522" s="6"/>
      <c r="K522" s="6">
        <v>0</v>
      </c>
      <c r="L522" s="5"/>
    </row>
    <row r="523" spans="3:12" x14ac:dyDescent="0.25">
      <c r="C523" s="225"/>
      <c r="D523" s="197"/>
      <c r="E523" s="99"/>
      <c r="F523" s="6">
        <v>0</v>
      </c>
      <c r="G523" s="6">
        <v>0</v>
      </c>
      <c r="H523" s="6">
        <v>0</v>
      </c>
      <c r="I523" s="6">
        <v>0</v>
      </c>
      <c r="J523" s="6"/>
      <c r="K523" s="6">
        <v>0</v>
      </c>
      <c r="L523" s="5"/>
    </row>
    <row r="524" spans="3:12" x14ac:dyDescent="0.25">
      <c r="C524" s="225"/>
      <c r="D524" s="197"/>
      <c r="E524" s="99"/>
      <c r="F524" s="6">
        <v>0</v>
      </c>
      <c r="G524" s="6">
        <v>0</v>
      </c>
      <c r="H524" s="6">
        <v>0</v>
      </c>
      <c r="I524" s="6">
        <v>0</v>
      </c>
      <c r="J524" s="6"/>
      <c r="K524" s="6">
        <v>0</v>
      </c>
      <c r="L524" s="206">
        <f>SUM(F511+G512)</f>
        <v>64580</v>
      </c>
    </row>
    <row r="525" spans="3:12" x14ac:dyDescent="0.25">
      <c r="C525" s="225"/>
      <c r="D525" s="197"/>
      <c r="E525" s="99"/>
      <c r="F525" s="6">
        <v>0</v>
      </c>
      <c r="G525" s="6">
        <v>0</v>
      </c>
      <c r="H525" s="6">
        <v>0</v>
      </c>
      <c r="I525" s="6">
        <v>0</v>
      </c>
      <c r="J525" s="6"/>
      <c r="K525" s="6">
        <v>0</v>
      </c>
      <c r="L525" s="208">
        <f>SUM(F516:F518)+F514+I515+G519</f>
        <v>302780</v>
      </c>
    </row>
    <row r="526" spans="3:12" x14ac:dyDescent="0.25">
      <c r="C526" s="226"/>
      <c r="D526" s="197"/>
      <c r="E526" s="99"/>
      <c r="F526" s="6">
        <v>0</v>
      </c>
      <c r="G526" s="6">
        <v>0</v>
      </c>
      <c r="H526" s="6">
        <v>0</v>
      </c>
      <c r="I526" s="6">
        <v>0</v>
      </c>
      <c r="J526" s="6"/>
      <c r="K526" s="6">
        <v>0</v>
      </c>
      <c r="L526" s="108">
        <f>L524+L525</f>
        <v>367360</v>
      </c>
    </row>
    <row r="527" spans="3:12" x14ac:dyDescent="0.25">
      <c r="C527" s="101"/>
      <c r="D527" s="117"/>
      <c r="E527" s="102" t="s">
        <v>27</v>
      </c>
      <c r="F527" s="33">
        <f>SUM(F511:F526)</f>
        <v>247360</v>
      </c>
      <c r="G527" s="33">
        <f>SUM(G511:G526)</f>
        <v>181000</v>
      </c>
      <c r="H527" s="33">
        <f>SUM(H511:H526)</f>
        <v>0</v>
      </c>
      <c r="I527" s="33">
        <f>SUM(I511:I526)</f>
        <v>28000</v>
      </c>
      <c r="J527" s="33">
        <f>SUM(J511:J526)</f>
        <v>0</v>
      </c>
      <c r="K527" s="33">
        <f>SUM(F527:J527)-J527</f>
        <v>456360</v>
      </c>
      <c r="L527" s="16"/>
    </row>
    <row r="528" spans="3:12" x14ac:dyDescent="0.25">
      <c r="C528" s="224">
        <v>30</v>
      </c>
      <c r="D528" s="197" t="s">
        <v>34</v>
      </c>
      <c r="E528" s="99" t="s">
        <v>169</v>
      </c>
      <c r="F528" s="205">
        <v>10000</v>
      </c>
      <c r="G528" s="6">
        <v>0</v>
      </c>
      <c r="H528" s="6">
        <v>0</v>
      </c>
      <c r="I528" s="6">
        <v>0</v>
      </c>
      <c r="J528" s="6"/>
      <c r="K528" s="6">
        <v>0</v>
      </c>
      <c r="L528" s="5"/>
    </row>
    <row r="529" spans="3:12" x14ac:dyDescent="0.25">
      <c r="C529" s="225"/>
      <c r="D529" s="197" t="s">
        <v>24</v>
      </c>
      <c r="E529" s="99" t="s">
        <v>169</v>
      </c>
      <c r="F529" s="203">
        <v>144161</v>
      </c>
      <c r="G529" s="6">
        <v>0</v>
      </c>
      <c r="H529" s="6">
        <v>0</v>
      </c>
      <c r="I529" s="6">
        <v>0</v>
      </c>
      <c r="J529" s="6"/>
      <c r="K529" s="6">
        <v>0</v>
      </c>
      <c r="L529" s="5"/>
    </row>
    <row r="530" spans="3:12" x14ac:dyDescent="0.25">
      <c r="C530" s="225"/>
      <c r="D530" s="197" t="s">
        <v>148</v>
      </c>
      <c r="E530" s="99" t="s">
        <v>169</v>
      </c>
      <c r="F530" s="203">
        <v>149000</v>
      </c>
      <c r="G530" s="6">
        <v>0</v>
      </c>
      <c r="H530" s="6">
        <v>0</v>
      </c>
      <c r="I530" s="6">
        <v>0</v>
      </c>
      <c r="J530" s="6"/>
      <c r="K530" s="6">
        <v>0</v>
      </c>
      <c r="L530" s="5"/>
    </row>
    <row r="531" spans="3:12" x14ac:dyDescent="0.25">
      <c r="C531" s="225"/>
      <c r="D531" s="197" t="s">
        <v>119</v>
      </c>
      <c r="E531" s="99" t="s">
        <v>169</v>
      </c>
      <c r="F531" s="203">
        <v>49743</v>
      </c>
      <c r="G531" s="6">
        <v>0</v>
      </c>
      <c r="H531" s="6">
        <v>0</v>
      </c>
      <c r="I531" s="6">
        <v>0</v>
      </c>
      <c r="J531" s="6"/>
      <c r="K531" s="6">
        <v>0</v>
      </c>
      <c r="L531" s="5"/>
    </row>
    <row r="532" spans="3:12" x14ac:dyDescent="0.25">
      <c r="C532" s="225"/>
      <c r="D532" s="197" t="s">
        <v>145</v>
      </c>
      <c r="E532" s="99" t="s">
        <v>171</v>
      </c>
      <c r="F532" s="6">
        <v>0</v>
      </c>
      <c r="G532" s="203">
        <v>55000</v>
      </c>
      <c r="H532" s="6">
        <v>0</v>
      </c>
      <c r="I532" s="6">
        <v>0</v>
      </c>
      <c r="J532" s="6"/>
      <c r="K532" s="6">
        <v>0</v>
      </c>
      <c r="L532" s="5"/>
    </row>
    <row r="533" spans="3:12" x14ac:dyDescent="0.25">
      <c r="C533" s="225"/>
      <c r="D533" s="197" t="s">
        <v>19</v>
      </c>
      <c r="E533" s="99" t="s">
        <v>169</v>
      </c>
      <c r="F533" s="204">
        <v>19226</v>
      </c>
      <c r="G533" s="6">
        <v>0</v>
      </c>
      <c r="H533" s="6">
        <v>0</v>
      </c>
      <c r="I533" s="6">
        <v>0</v>
      </c>
      <c r="J533" s="6"/>
      <c r="K533" s="6">
        <v>0</v>
      </c>
      <c r="L533" s="5"/>
    </row>
    <row r="534" spans="3:12" x14ac:dyDescent="0.25">
      <c r="C534" s="225"/>
      <c r="D534" s="197" t="s">
        <v>106</v>
      </c>
      <c r="E534" s="99" t="s">
        <v>169</v>
      </c>
      <c r="F534" s="204">
        <v>10890</v>
      </c>
      <c r="G534" s="6">
        <v>0</v>
      </c>
      <c r="H534" s="6">
        <v>0</v>
      </c>
      <c r="I534" s="6">
        <v>0</v>
      </c>
      <c r="J534" s="6"/>
      <c r="K534" s="6">
        <v>0</v>
      </c>
      <c r="L534" s="5"/>
    </row>
    <row r="535" spans="3:12" x14ac:dyDescent="0.25">
      <c r="C535" s="225"/>
      <c r="D535" s="197" t="s">
        <v>154</v>
      </c>
      <c r="E535" s="99" t="s">
        <v>173</v>
      </c>
      <c r="F535" s="6">
        <v>0</v>
      </c>
      <c r="G535" s="204">
        <v>50000</v>
      </c>
      <c r="H535" s="6">
        <v>0</v>
      </c>
      <c r="I535" s="6">
        <v>0</v>
      </c>
      <c r="J535" s="6"/>
      <c r="K535" s="6">
        <v>0</v>
      </c>
      <c r="L535" s="5"/>
    </row>
    <row r="536" spans="3:12" x14ac:dyDescent="0.25">
      <c r="C536" s="225"/>
      <c r="D536" s="197" t="s">
        <v>37</v>
      </c>
      <c r="E536" s="99" t="s">
        <v>173</v>
      </c>
      <c r="F536" s="6">
        <v>0</v>
      </c>
      <c r="G536" s="204">
        <v>50000</v>
      </c>
      <c r="H536" s="6">
        <v>0</v>
      </c>
      <c r="I536" s="6">
        <v>0</v>
      </c>
      <c r="J536" s="6"/>
      <c r="K536" s="6">
        <v>0</v>
      </c>
      <c r="L536" s="5"/>
    </row>
    <row r="537" spans="3:12" x14ac:dyDescent="0.25">
      <c r="C537" s="225"/>
      <c r="D537" s="197"/>
      <c r="E537" s="99"/>
      <c r="F537" s="6">
        <v>0</v>
      </c>
      <c r="G537" s="6">
        <v>0</v>
      </c>
      <c r="H537" s="6">
        <v>0</v>
      </c>
      <c r="I537" s="6">
        <v>0</v>
      </c>
      <c r="J537" s="6"/>
      <c r="K537" s="6">
        <v>0</v>
      </c>
      <c r="L537" s="5"/>
    </row>
    <row r="538" spans="3:12" x14ac:dyDescent="0.25">
      <c r="C538" s="225"/>
      <c r="D538" s="197"/>
      <c r="E538" s="99"/>
      <c r="F538" s="6">
        <v>0</v>
      </c>
      <c r="G538" s="6">
        <v>0</v>
      </c>
      <c r="H538" s="6">
        <v>0</v>
      </c>
      <c r="I538" s="6">
        <v>0</v>
      </c>
      <c r="J538" s="6"/>
      <c r="K538" s="6">
        <v>0</v>
      </c>
      <c r="L538" s="5"/>
    </row>
    <row r="539" spans="3:12" x14ac:dyDescent="0.25">
      <c r="C539" s="225"/>
      <c r="D539" s="197"/>
      <c r="E539" s="99"/>
      <c r="F539" s="6">
        <v>0</v>
      </c>
      <c r="G539" s="6">
        <v>0</v>
      </c>
      <c r="H539" s="6">
        <v>0</v>
      </c>
      <c r="I539" s="6">
        <v>0</v>
      </c>
      <c r="J539" s="6"/>
      <c r="K539" s="6">
        <v>0</v>
      </c>
      <c r="L539" s="5"/>
    </row>
    <row r="540" spans="3:12" x14ac:dyDescent="0.25">
      <c r="C540" s="225"/>
      <c r="D540" s="197"/>
      <c r="E540" s="99"/>
      <c r="F540" s="6">
        <v>0</v>
      </c>
      <c r="G540" s="6">
        <v>0</v>
      </c>
      <c r="H540" s="6">
        <v>0</v>
      </c>
      <c r="I540" s="6">
        <v>0</v>
      </c>
      <c r="J540" s="6"/>
      <c r="K540" s="6">
        <v>0</v>
      </c>
      <c r="L540" s="206">
        <f>SUM(F529+F530+F531+G532)</f>
        <v>397904</v>
      </c>
    </row>
    <row r="541" spans="3:12" x14ac:dyDescent="0.25">
      <c r="C541" s="225"/>
      <c r="D541" s="197"/>
      <c r="E541" s="99"/>
      <c r="F541" s="6">
        <v>0</v>
      </c>
      <c r="G541" s="6">
        <v>0</v>
      </c>
      <c r="H541" s="6">
        <v>0</v>
      </c>
      <c r="I541" s="6">
        <v>0</v>
      </c>
      <c r="J541" s="6"/>
      <c r="K541" s="6">
        <v>0</v>
      </c>
      <c r="L541" s="213">
        <f>SUM(F533:G536)</f>
        <v>130116</v>
      </c>
    </row>
    <row r="542" spans="3:12" x14ac:dyDescent="0.25">
      <c r="C542" s="225"/>
      <c r="D542" s="197"/>
      <c r="E542" s="99"/>
      <c r="F542" s="6">
        <v>0</v>
      </c>
      <c r="G542" s="6">
        <v>0</v>
      </c>
      <c r="H542" s="6">
        <v>0</v>
      </c>
      <c r="I542" s="6">
        <v>0</v>
      </c>
      <c r="J542" s="6"/>
      <c r="K542" s="6">
        <v>0</v>
      </c>
      <c r="L542" s="5"/>
    </row>
    <row r="543" spans="3:12" x14ac:dyDescent="0.25">
      <c r="C543" s="226"/>
      <c r="D543" s="197"/>
      <c r="E543" s="99"/>
      <c r="F543" s="6">
        <v>0</v>
      </c>
      <c r="G543" s="6">
        <v>0</v>
      </c>
      <c r="H543" s="6">
        <v>0</v>
      </c>
      <c r="I543" s="6">
        <v>0</v>
      </c>
      <c r="J543" s="6"/>
      <c r="K543" s="6">
        <v>0</v>
      </c>
      <c r="L543" s="5"/>
    </row>
    <row r="544" spans="3:12" x14ac:dyDescent="0.25">
      <c r="C544" s="101"/>
      <c r="D544" s="117"/>
      <c r="E544" s="102" t="s">
        <v>27</v>
      </c>
      <c r="F544" s="33">
        <f>SUM(F528:F543)</f>
        <v>383020</v>
      </c>
      <c r="G544" s="33">
        <f>SUM(G528:G543)</f>
        <v>155000</v>
      </c>
      <c r="H544" s="33">
        <f>SUM(H528:H543)</f>
        <v>0</v>
      </c>
      <c r="I544" s="33">
        <f>SUM(I528:I543)</f>
        <v>0</v>
      </c>
      <c r="J544" s="33">
        <f>SUM(J528:J543)</f>
        <v>0</v>
      </c>
      <c r="K544" s="33">
        <f>SUM(F544:J544)-J544</f>
        <v>538020</v>
      </c>
      <c r="L544" s="16"/>
    </row>
    <row r="545" spans="3:12" x14ac:dyDescent="0.25">
      <c r="C545" s="224">
        <v>31</v>
      </c>
      <c r="D545" s="197"/>
      <c r="E545" s="15"/>
      <c r="F545" s="107"/>
      <c r="G545" s="107"/>
      <c r="H545" s="107">
        <v>0</v>
      </c>
      <c r="I545" s="107"/>
      <c r="J545" s="107"/>
      <c r="K545" s="107"/>
      <c r="L545" s="5"/>
    </row>
    <row r="546" spans="3:12" x14ac:dyDescent="0.25">
      <c r="C546" s="225"/>
      <c r="D546" s="197"/>
      <c r="E546" s="99"/>
      <c r="F546" s="107"/>
      <c r="G546" s="107"/>
      <c r="H546" s="107"/>
      <c r="I546" s="107"/>
      <c r="J546" s="107"/>
      <c r="K546" s="107"/>
      <c r="L546" s="5"/>
    </row>
    <row r="547" spans="3:12" x14ac:dyDescent="0.25">
      <c r="C547" s="225"/>
      <c r="D547" s="197"/>
      <c r="E547" s="99"/>
      <c r="F547" s="107"/>
      <c r="G547" s="107"/>
      <c r="H547" s="107"/>
      <c r="I547" s="107"/>
      <c r="J547" s="107"/>
      <c r="K547" s="107"/>
      <c r="L547" s="5"/>
    </row>
    <row r="548" spans="3:12" x14ac:dyDescent="0.25">
      <c r="C548" s="225"/>
      <c r="D548" s="197"/>
      <c r="E548" s="99"/>
      <c r="F548" s="107"/>
      <c r="G548" s="107"/>
      <c r="H548" s="107"/>
      <c r="I548" s="107"/>
      <c r="J548" s="107"/>
      <c r="K548" s="107"/>
      <c r="L548" s="5"/>
    </row>
    <row r="549" spans="3:12" x14ac:dyDescent="0.25">
      <c r="C549" s="225"/>
      <c r="D549" s="197"/>
      <c r="E549" s="99"/>
      <c r="F549" s="107"/>
      <c r="G549" s="107"/>
      <c r="H549" s="107"/>
      <c r="I549" s="107"/>
      <c r="J549" s="107"/>
      <c r="K549" s="107"/>
      <c r="L549" s="5"/>
    </row>
    <row r="550" spans="3:12" x14ac:dyDescent="0.25">
      <c r="C550" s="225"/>
      <c r="D550" s="197"/>
      <c r="E550" s="99"/>
      <c r="F550" s="107"/>
      <c r="G550" s="107"/>
      <c r="H550" s="107"/>
      <c r="I550" s="107"/>
      <c r="J550" s="107"/>
      <c r="K550" s="107"/>
      <c r="L550" s="5"/>
    </row>
    <row r="551" spans="3:12" x14ac:dyDescent="0.25">
      <c r="C551" s="225"/>
      <c r="D551" s="197"/>
      <c r="E551" s="99"/>
      <c r="F551" s="107"/>
      <c r="G551" s="107"/>
      <c r="H551" s="107"/>
      <c r="I551" s="107"/>
      <c r="J551" s="107"/>
      <c r="K551" s="107"/>
      <c r="L551" s="5"/>
    </row>
    <row r="552" spans="3:12" x14ac:dyDescent="0.25">
      <c r="C552" s="225"/>
      <c r="D552" s="197"/>
      <c r="E552" s="99"/>
      <c r="F552" s="107"/>
      <c r="G552" s="107"/>
      <c r="H552" s="107"/>
      <c r="I552" s="107"/>
      <c r="J552" s="107"/>
      <c r="K552" s="107"/>
      <c r="L552" s="5"/>
    </row>
    <row r="553" spans="3:12" x14ac:dyDescent="0.25">
      <c r="C553" s="225"/>
      <c r="D553" s="197"/>
      <c r="E553" s="99"/>
      <c r="F553" s="107"/>
      <c r="G553" s="107">
        <v>0</v>
      </c>
      <c r="H553" s="107"/>
      <c r="I553" s="107"/>
      <c r="J553" s="107"/>
      <c r="K553" s="107"/>
      <c r="L553" s="5"/>
    </row>
    <row r="554" spans="3:12" x14ac:dyDescent="0.25">
      <c r="C554" s="225"/>
      <c r="D554" s="197"/>
      <c r="E554" s="99"/>
      <c r="F554" s="107"/>
      <c r="G554" s="107"/>
      <c r="H554" s="107"/>
      <c r="I554" s="107"/>
      <c r="J554" s="107"/>
      <c r="K554" s="107"/>
      <c r="L554" s="5"/>
    </row>
    <row r="555" spans="3:12" x14ac:dyDescent="0.25">
      <c r="C555" s="225"/>
      <c r="D555" s="197"/>
      <c r="E555" s="99"/>
      <c r="F555" s="107"/>
      <c r="G555" s="107"/>
      <c r="H555" s="107"/>
      <c r="I555" s="107"/>
      <c r="J555" s="107"/>
      <c r="K555" s="107"/>
      <c r="L555" s="5"/>
    </row>
    <row r="556" spans="3:12" x14ac:dyDescent="0.25">
      <c r="C556" s="225"/>
      <c r="D556" s="197"/>
      <c r="E556" s="99"/>
      <c r="F556" s="107"/>
      <c r="G556" s="107"/>
      <c r="H556" s="107"/>
      <c r="I556" s="107"/>
      <c r="J556" s="107"/>
      <c r="K556" s="107"/>
      <c r="L556" s="5"/>
    </row>
    <row r="557" spans="3:12" x14ac:dyDescent="0.25">
      <c r="C557" s="225"/>
      <c r="D557" s="197"/>
      <c r="E557" s="99"/>
      <c r="F557" s="107"/>
      <c r="G557" s="107"/>
      <c r="H557" s="107"/>
      <c r="I557" s="107"/>
      <c r="J557" s="107"/>
      <c r="K557" s="107"/>
      <c r="L557" s="5"/>
    </row>
    <row r="558" spans="3:12" x14ac:dyDescent="0.25">
      <c r="C558" s="225"/>
      <c r="D558" s="197"/>
      <c r="E558" s="99"/>
      <c r="F558" s="107"/>
      <c r="G558" s="107"/>
      <c r="H558" s="107"/>
      <c r="I558" s="107"/>
      <c r="J558" s="107"/>
      <c r="K558" s="107"/>
      <c r="L558" s="5"/>
    </row>
    <row r="559" spans="3:12" x14ac:dyDescent="0.25">
      <c r="C559" s="225"/>
      <c r="D559" s="197"/>
      <c r="E559" s="99"/>
      <c r="F559" s="107"/>
      <c r="G559" s="107"/>
      <c r="H559" s="107"/>
      <c r="I559" s="107"/>
      <c r="J559" s="107"/>
      <c r="K559" s="107"/>
      <c r="L559" s="5"/>
    </row>
    <row r="560" spans="3:12" x14ac:dyDescent="0.25">
      <c r="C560" s="226"/>
      <c r="D560" s="197"/>
      <c r="E560" s="99"/>
      <c r="F560" s="107"/>
      <c r="G560" s="107"/>
      <c r="H560" s="107"/>
      <c r="I560" s="107"/>
      <c r="J560" s="107"/>
      <c r="K560" s="107"/>
      <c r="L560" s="5"/>
    </row>
    <row r="561" spans="3:12" x14ac:dyDescent="0.25">
      <c r="C561" s="101"/>
      <c r="D561" s="117"/>
      <c r="E561" s="102" t="s">
        <v>27</v>
      </c>
      <c r="F561" s="33">
        <f>SUM(F545:F560)</f>
        <v>0</v>
      </c>
      <c r="G561" s="33">
        <f>SUM(G545:G560)</f>
        <v>0</v>
      </c>
      <c r="H561" s="33">
        <f>SUM(H545:H560)</f>
        <v>0</v>
      </c>
      <c r="I561" s="33">
        <f>SUM(I545:I560)</f>
        <v>0</v>
      </c>
      <c r="J561" s="33">
        <f>SUM(J545:J560)</f>
        <v>0</v>
      </c>
      <c r="K561" s="33">
        <f>SUM(F561:J561)-J561</f>
        <v>0</v>
      </c>
      <c r="L561" s="27">
        <f>+K25+K43+K61+K77+K95+K113+K130+K148+K167+K184+K202+K222+K240+K259+K278+K296+K315+K332+K350+K370+K389+K408+K425+K442+K459+K476+K493+K510+K527+K544+K561</f>
        <v>18712842</v>
      </c>
    </row>
    <row r="563" spans="3:12" x14ac:dyDescent="0.25">
      <c r="C563" s="227" t="s">
        <v>47</v>
      </c>
      <c r="D563" s="228"/>
      <c r="E563" s="229"/>
      <c r="F563" s="33">
        <f>+F25+F43+F61+F77+F95+F113+F130+F148+F167+F184+F202+F222+F240+F259+F278+F296+F315+F332+F350+F370+F389+F408+F425+F442+F459+F476+F493+F510+F527+F544+F561</f>
        <v>10636433</v>
      </c>
      <c r="G563" s="33">
        <f>+G25+G43+G61+G77+G95+G113+G130+G148+G167+G184+G202+G222+G240+G259+G278+G296+G315+G332+G350+G370+G389+G408+G425+G442+G459+G476+G493+G510+G527+G544+G561</f>
        <v>5015000</v>
      </c>
      <c r="H563" s="33">
        <f>+H25+H43+H61+H77+H95+H113+H130+H148+H167+H184+H202+H222+H240+H259+H278+H296+H315+H332+H350+H370+H389+H408+H425+H442+H459+H476+H493+H510+H527+H544+H561</f>
        <v>1830650</v>
      </c>
      <c r="I563" s="33">
        <f>+I25+I43+I61+I77+I95+I113+I130+I148+I167+I184+I202+I222+I240+I259+I278+I296+I315+I332+I350+I370+I389+I408+I425+I442+I459+I476+I493+I510+I527+I544+I561</f>
        <v>1230759</v>
      </c>
      <c r="J563" s="106">
        <f>J25+J43+J61+J77+J95+J113+J130+J148+J167+J184+J202+J222+J240+J259+J278+J296+J315+J332+J350+J370+J389+J408+J425+J442+J459+J476+J493+J510+J527+J544+J561</f>
        <v>0</v>
      </c>
      <c r="K563" s="230">
        <f>SUM(F563:J563)</f>
        <v>18712842</v>
      </c>
      <c r="L563" s="231"/>
    </row>
    <row r="564" spans="3:12" s="135" customFormat="1" x14ac:dyDescent="0.25">
      <c r="C564" s="138"/>
      <c r="D564" s="139"/>
      <c r="F564" s="140"/>
      <c r="G564" s="140"/>
      <c r="H564" s="140"/>
      <c r="I564" s="140"/>
      <c r="J564" s="140"/>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sheetData>
  <autoFilter ref="C8:L561" xr:uid="{81A19B39-71D3-46D0-8E67-842CA8F005FE}"/>
  <mergeCells count="38">
    <mergeCell ref="C2:L2"/>
    <mergeCell ref="C3:L3"/>
    <mergeCell ref="C4:L4"/>
    <mergeCell ref="C9:C24"/>
    <mergeCell ref="C5:L5"/>
    <mergeCell ref="C6:L6"/>
    <mergeCell ref="C26:C42"/>
    <mergeCell ref="C44:C60"/>
    <mergeCell ref="C62:C76"/>
    <mergeCell ref="C78:C94"/>
    <mergeCell ref="C96:C112"/>
    <mergeCell ref="C114:C129"/>
    <mergeCell ref="C131:C147"/>
    <mergeCell ref="C149:C166"/>
    <mergeCell ref="C168:C183"/>
    <mergeCell ref="C185:C201"/>
    <mergeCell ref="C203:C221"/>
    <mergeCell ref="C223:C239"/>
    <mergeCell ref="C241:C258"/>
    <mergeCell ref="C260:C277"/>
    <mergeCell ref="C279:C295"/>
    <mergeCell ref="C297:C314"/>
    <mergeCell ref="C316:C331"/>
    <mergeCell ref="C333:C349"/>
    <mergeCell ref="C351:C369"/>
    <mergeCell ref="C371:C388"/>
    <mergeCell ref="C390:C407"/>
    <mergeCell ref="C409:C424"/>
    <mergeCell ref="C426:C441"/>
    <mergeCell ref="C443:C458"/>
    <mergeCell ref="C460:C475"/>
    <mergeCell ref="C477:C492"/>
    <mergeCell ref="C494:C509"/>
    <mergeCell ref="C511:C526"/>
    <mergeCell ref="C563:E563"/>
    <mergeCell ref="K563:L563"/>
    <mergeCell ref="C528:C543"/>
    <mergeCell ref="C545:C560"/>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1:D1048576 D544 D527 D510 D493 D476 D459 D442 D425 D408 D389 D370 D350 D332 D315 D296 D278 D259 D240 D222 D202 D184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545:D560 D528:D543 D478:D492 D494:D509 D465:D475 D443:D458 D427:D441 D376:D388 D409:D424 D390:D407 D356:D369 D334:D349 D319:D331 D289:D295 D297:D314 D262:D277 D224:D239 D241:D258 D206:D221 D168:D169 D185:D201 D116:D129 D149:D166 D131:D147 D44:D45 D96:D112 D78:D94 D62:D76 D10:D24 D26:D42 D48:D60 D114 D172:D183 D203:D204 D260 D279:D287 D316:D317 D351:D353 D371:D374 D460:D463 D511:D512 D514:D526"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79" zoomScale="85" zoomScaleNormal="85" workbookViewId="0">
      <selection activeCell="K90" sqref="J90:K94"/>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35" t="s">
        <v>0</v>
      </c>
      <c r="D3" s="236"/>
      <c r="E3" s="236"/>
      <c r="F3" s="236"/>
      <c r="G3" s="236"/>
      <c r="H3" s="236"/>
      <c r="I3" s="237"/>
    </row>
    <row r="4" spans="3:9" ht="18.75" x14ac:dyDescent="0.3">
      <c r="C4" s="235" t="s">
        <v>48</v>
      </c>
      <c r="D4" s="236"/>
      <c r="E4" s="236"/>
      <c r="F4" s="236"/>
      <c r="G4" s="236"/>
      <c r="H4" s="236"/>
      <c r="I4" s="237"/>
    </row>
    <row r="5" spans="3:9" ht="18.75" x14ac:dyDescent="0.3">
      <c r="C5" s="235" t="s">
        <v>49</v>
      </c>
      <c r="D5" s="236"/>
      <c r="E5" s="236"/>
      <c r="F5" s="236"/>
      <c r="G5" s="236"/>
      <c r="H5" s="236"/>
      <c r="I5" s="237"/>
    </row>
    <row r="6" spans="3:9" ht="18.75" x14ac:dyDescent="0.3">
      <c r="C6" s="235"/>
      <c r="D6" s="236"/>
      <c r="E6" s="236"/>
      <c r="F6" s="236"/>
      <c r="G6" s="236"/>
      <c r="H6" s="236"/>
      <c r="I6" s="237"/>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60000+484500</f>
        <v>544500</v>
      </c>
      <c r="F10" s="36"/>
      <c r="G10" s="36"/>
      <c r="H10" s="36"/>
      <c r="I10" s="240"/>
    </row>
    <row r="11" spans="3:9" x14ac:dyDescent="0.25">
      <c r="C11" s="34">
        <v>1</v>
      </c>
      <c r="D11" s="35" t="s">
        <v>57</v>
      </c>
      <c r="E11" s="35">
        <f>53000+122000</f>
        <v>175000</v>
      </c>
      <c r="F11" s="36"/>
      <c r="G11" s="36"/>
      <c r="H11" s="36"/>
      <c r="I11" s="240"/>
    </row>
    <row r="12" spans="3:9" x14ac:dyDescent="0.25">
      <c r="C12" s="37" t="s">
        <v>58</v>
      </c>
      <c r="D12" s="38"/>
      <c r="E12" s="38">
        <f>SUM(E10:E11)</f>
        <v>719500</v>
      </c>
      <c r="F12" s="38">
        <f>SUM(F10:F11)</f>
        <v>0</v>
      </c>
      <c r="G12" s="39">
        <f>+'EGRESOS '!K25</f>
        <v>935610</v>
      </c>
      <c r="H12" s="39">
        <f>+E12-G12</f>
        <v>-216110</v>
      </c>
      <c r="I12" s="240"/>
    </row>
    <row r="13" spans="3:9" x14ac:dyDescent="0.25">
      <c r="C13" s="40">
        <v>2</v>
      </c>
      <c r="D13" s="35" t="s">
        <v>56</v>
      </c>
      <c r="E13" s="35">
        <f>99000+504500</f>
        <v>603500</v>
      </c>
      <c r="F13" s="36"/>
      <c r="G13" s="36"/>
      <c r="H13" s="36"/>
      <c r="I13" s="241" t="s">
        <v>184</v>
      </c>
    </row>
    <row r="14" spans="3:9" x14ac:dyDescent="0.25">
      <c r="C14" s="40">
        <v>2</v>
      </c>
      <c r="D14" s="35" t="s">
        <v>57</v>
      </c>
      <c r="E14" s="35">
        <v>96000</v>
      </c>
      <c r="F14" s="36"/>
      <c r="G14" s="36"/>
      <c r="H14" s="36"/>
      <c r="I14" s="241"/>
    </row>
    <row r="15" spans="3:9" x14ac:dyDescent="0.25">
      <c r="C15" s="37" t="s">
        <v>58</v>
      </c>
      <c r="D15" s="38"/>
      <c r="E15" s="38">
        <f>SUM(E13:E14)</f>
        <v>699500</v>
      </c>
      <c r="F15" s="38">
        <f>SUM(F13:F14)</f>
        <v>0</v>
      </c>
      <c r="G15" s="39">
        <f>+'EGRESOS '!K43</f>
        <v>1920576</v>
      </c>
      <c r="H15" s="39">
        <f>+H12+E15-G15</f>
        <v>-1437186</v>
      </c>
      <c r="I15" s="241"/>
    </row>
    <row r="16" spans="3:9" x14ac:dyDescent="0.25">
      <c r="C16" s="41">
        <v>3</v>
      </c>
      <c r="D16" s="35" t="s">
        <v>56</v>
      </c>
      <c r="E16" s="35">
        <f>248000+457500</f>
        <v>705500</v>
      </c>
      <c r="F16" s="36"/>
      <c r="G16" s="36"/>
      <c r="H16" s="36"/>
      <c r="I16" s="241" t="s">
        <v>176</v>
      </c>
    </row>
    <row r="17" spans="3:9" x14ac:dyDescent="0.25">
      <c r="C17" s="41">
        <v>3</v>
      </c>
      <c r="D17" s="35" t="s">
        <v>57</v>
      </c>
      <c r="E17" s="35">
        <v>243000</v>
      </c>
      <c r="F17" s="36"/>
      <c r="G17" s="36"/>
      <c r="H17" s="36"/>
      <c r="I17" s="241"/>
    </row>
    <row r="18" spans="3:9" x14ac:dyDescent="0.25">
      <c r="C18" s="37" t="s">
        <v>58</v>
      </c>
      <c r="D18" s="38"/>
      <c r="E18" s="38">
        <f>SUM(E16:E17)</f>
        <v>948500</v>
      </c>
      <c r="F18" s="38">
        <f>SUM(F16:F17)</f>
        <v>0</v>
      </c>
      <c r="G18" s="39">
        <f>+'EGRESOS '!K61</f>
        <v>371169</v>
      </c>
      <c r="H18" s="39">
        <f>+H15+E18-G18</f>
        <v>-859855</v>
      </c>
      <c r="I18" s="241"/>
    </row>
    <row r="19" spans="3:9" x14ac:dyDescent="0.25">
      <c r="C19" s="42">
        <v>4</v>
      </c>
      <c r="D19" s="35" t="s">
        <v>56</v>
      </c>
      <c r="E19" s="35">
        <f>297000+105000</f>
        <v>402000</v>
      </c>
      <c r="F19" s="36"/>
      <c r="G19" s="36"/>
      <c r="H19" s="36"/>
      <c r="I19" s="240"/>
    </row>
    <row r="20" spans="3:9" x14ac:dyDescent="0.25">
      <c r="C20" s="42">
        <v>4</v>
      </c>
      <c r="D20" s="35" t="s">
        <v>57</v>
      </c>
      <c r="E20" s="35">
        <f>101000+193000</f>
        <v>294000</v>
      </c>
      <c r="F20" s="36"/>
      <c r="G20" s="36"/>
      <c r="H20" s="36"/>
      <c r="I20" s="240"/>
    </row>
    <row r="21" spans="3:9" x14ac:dyDescent="0.25">
      <c r="C21" s="37" t="s">
        <v>58</v>
      </c>
      <c r="D21" s="38"/>
      <c r="E21" s="38">
        <f>SUM(E19:E20)</f>
        <v>696000</v>
      </c>
      <c r="F21" s="38">
        <f>SUM(F19:F20)</f>
        <v>0</v>
      </c>
      <c r="G21" s="39">
        <f>+'EGRESOS '!K77</f>
        <v>249290</v>
      </c>
      <c r="H21" s="39">
        <f>+H18+E21-G21</f>
        <v>-413145</v>
      </c>
      <c r="I21" s="240"/>
    </row>
    <row r="22" spans="3:9" x14ac:dyDescent="0.25">
      <c r="C22" s="43">
        <v>5</v>
      </c>
      <c r="D22" s="35" t="s">
        <v>56</v>
      </c>
      <c r="E22" s="35">
        <f>92000+248500</f>
        <v>340500</v>
      </c>
      <c r="F22" s="36"/>
      <c r="G22" s="36"/>
      <c r="H22" s="36"/>
      <c r="I22" s="241" t="s">
        <v>181</v>
      </c>
    </row>
    <row r="23" spans="3:9" x14ac:dyDescent="0.25">
      <c r="C23" s="43">
        <v>5</v>
      </c>
      <c r="D23" s="35" t="s">
        <v>57</v>
      </c>
      <c r="E23" s="35">
        <f>95000+155000</f>
        <v>250000</v>
      </c>
      <c r="F23" s="36"/>
      <c r="G23" s="36"/>
      <c r="H23" s="36"/>
      <c r="I23" s="241"/>
    </row>
    <row r="24" spans="3:9" x14ac:dyDescent="0.25">
      <c r="C24" s="37" t="s">
        <v>58</v>
      </c>
      <c r="D24" s="38"/>
      <c r="E24" s="38">
        <f>SUM(E22:E23)</f>
        <v>590500</v>
      </c>
      <c r="F24" s="38">
        <f>SUM(F22:F23)</f>
        <v>0</v>
      </c>
      <c r="G24" s="39">
        <f>+'EGRESOS '!K95</f>
        <v>1057746</v>
      </c>
      <c r="H24" s="39">
        <f>+H21+E24-G24</f>
        <v>-880391</v>
      </c>
      <c r="I24" s="241"/>
    </row>
    <row r="25" spans="3:9" x14ac:dyDescent="0.25">
      <c r="C25" s="44">
        <v>6</v>
      </c>
      <c r="D25" s="35" t="s">
        <v>56</v>
      </c>
      <c r="E25" s="35">
        <f>97000+380000</f>
        <v>477000</v>
      </c>
      <c r="F25" s="36"/>
      <c r="G25" s="36"/>
      <c r="H25" s="36"/>
      <c r="I25" s="240"/>
    </row>
    <row r="26" spans="3:9" x14ac:dyDescent="0.25">
      <c r="C26" s="44">
        <v>6</v>
      </c>
      <c r="D26" s="35" t="s">
        <v>57</v>
      </c>
      <c r="E26" s="35">
        <f>30000+182000</f>
        <v>212000</v>
      </c>
      <c r="F26" s="36"/>
      <c r="G26" s="36"/>
      <c r="H26" s="36"/>
      <c r="I26" s="240"/>
    </row>
    <row r="27" spans="3:9" x14ac:dyDescent="0.25">
      <c r="C27" s="37" t="s">
        <v>58</v>
      </c>
      <c r="D27" s="38"/>
      <c r="E27" s="38">
        <f>SUM(E25:E26)</f>
        <v>689000</v>
      </c>
      <c r="F27" s="38">
        <f>SUM(F25:F26)</f>
        <v>0</v>
      </c>
      <c r="G27" s="39">
        <f>+'EGRESOS '!K113</f>
        <v>393632</v>
      </c>
      <c r="H27" s="39">
        <f>+H24+E27-G27</f>
        <v>-585023</v>
      </c>
      <c r="I27" s="240"/>
    </row>
    <row r="28" spans="3:9" x14ac:dyDescent="0.25">
      <c r="C28" s="45">
        <v>7</v>
      </c>
      <c r="D28" s="35" t="s">
        <v>56</v>
      </c>
      <c r="E28" s="35">
        <f>290500+301000</f>
        <v>591500</v>
      </c>
      <c r="F28" s="36"/>
      <c r="G28" s="36"/>
      <c r="H28" s="36"/>
      <c r="I28" s="241" t="s">
        <v>179</v>
      </c>
    </row>
    <row r="29" spans="3:9" x14ac:dyDescent="0.25">
      <c r="C29" s="45">
        <v>7</v>
      </c>
      <c r="D29" s="35" t="s">
        <v>57</v>
      </c>
      <c r="E29" s="35">
        <f>112000+315000</f>
        <v>427000</v>
      </c>
      <c r="F29" s="36"/>
      <c r="G29" s="36"/>
      <c r="H29" s="36"/>
      <c r="I29" s="241"/>
    </row>
    <row r="30" spans="3:9" x14ac:dyDescent="0.25">
      <c r="C30" s="37" t="s">
        <v>58</v>
      </c>
      <c r="D30" s="38"/>
      <c r="E30" s="38">
        <f>SUM(E28:E29)</f>
        <v>1018500</v>
      </c>
      <c r="F30" s="38">
        <f>SUM(F28:F29)</f>
        <v>0</v>
      </c>
      <c r="G30" s="39">
        <f>+'EGRESOS '!K130</f>
        <v>540669</v>
      </c>
      <c r="H30" s="39">
        <f>+H27+E30-G30</f>
        <v>-107192</v>
      </c>
      <c r="I30" s="241"/>
    </row>
    <row r="31" spans="3:9" x14ac:dyDescent="0.25">
      <c r="C31" s="43">
        <v>8</v>
      </c>
      <c r="D31" s="35" t="s">
        <v>56</v>
      </c>
      <c r="E31" s="35">
        <f>156000+295000</f>
        <v>451000</v>
      </c>
      <c r="F31" s="36"/>
      <c r="G31" s="36"/>
      <c r="H31" s="36"/>
      <c r="I31" s="241" t="s">
        <v>180</v>
      </c>
    </row>
    <row r="32" spans="3:9" x14ac:dyDescent="0.25">
      <c r="C32" s="43">
        <v>8</v>
      </c>
      <c r="D32" s="35" t="s">
        <v>57</v>
      </c>
      <c r="E32" s="35">
        <f>80500+51000</f>
        <v>131500</v>
      </c>
      <c r="F32" s="36"/>
      <c r="G32" s="36"/>
      <c r="H32" s="36"/>
      <c r="I32" s="241"/>
    </row>
    <row r="33" spans="3:10" x14ac:dyDescent="0.25">
      <c r="C33" s="37" t="s">
        <v>58</v>
      </c>
      <c r="D33" s="38"/>
      <c r="E33" s="38">
        <f>SUM(E31:E32)</f>
        <v>582500</v>
      </c>
      <c r="F33" s="38">
        <f>SUM(F31:F32)</f>
        <v>0</v>
      </c>
      <c r="G33" s="39">
        <f>+'EGRESOS '!K148</f>
        <v>317140</v>
      </c>
      <c r="H33" s="39">
        <f>+H30+E33-G33</f>
        <v>158168</v>
      </c>
      <c r="I33" s="241"/>
    </row>
    <row r="34" spans="3:10" x14ac:dyDescent="0.25">
      <c r="C34" s="46">
        <v>9</v>
      </c>
      <c r="D34" s="35" t="s">
        <v>56</v>
      </c>
      <c r="E34" s="35">
        <f>214500+355500</f>
        <v>570000</v>
      </c>
      <c r="F34" s="36"/>
      <c r="G34" s="36"/>
      <c r="H34" s="36"/>
      <c r="I34" s="240"/>
    </row>
    <row r="35" spans="3:10" x14ac:dyDescent="0.25">
      <c r="C35" s="46">
        <v>9</v>
      </c>
      <c r="D35" s="35" t="s">
        <v>57</v>
      </c>
      <c r="E35" s="35">
        <f>13000+30000</f>
        <v>43000</v>
      </c>
      <c r="F35" s="36"/>
      <c r="G35" s="36"/>
      <c r="H35" s="36"/>
      <c r="I35" s="240"/>
    </row>
    <row r="36" spans="3:10" x14ac:dyDescent="0.25">
      <c r="C36" s="37" t="s">
        <v>58</v>
      </c>
      <c r="D36" s="38"/>
      <c r="E36" s="38">
        <f>SUM(E34:E35)</f>
        <v>613000</v>
      </c>
      <c r="F36" s="38">
        <f>SUM(F34:F35)</f>
        <v>0</v>
      </c>
      <c r="G36" s="39">
        <f>+'EGRESOS '!K167</f>
        <v>635754</v>
      </c>
      <c r="H36" s="39">
        <f>+H33+E36-G36</f>
        <v>135414</v>
      </c>
      <c r="I36" s="240"/>
    </row>
    <row r="37" spans="3:10" x14ac:dyDescent="0.25">
      <c r="C37" s="42">
        <v>10</v>
      </c>
      <c r="D37" s="35" t="s">
        <v>56</v>
      </c>
      <c r="E37" s="35">
        <f>252000+346000</f>
        <v>598000</v>
      </c>
      <c r="F37" s="36"/>
      <c r="G37" s="36"/>
      <c r="H37" s="36"/>
      <c r="I37" s="241" t="s">
        <v>187</v>
      </c>
    </row>
    <row r="38" spans="3:10" x14ac:dyDescent="0.25">
      <c r="C38" s="42">
        <v>10</v>
      </c>
      <c r="D38" s="35" t="s">
        <v>57</v>
      </c>
      <c r="E38" s="35">
        <f>49000+247500</f>
        <v>296500</v>
      </c>
      <c r="F38" s="36"/>
      <c r="G38" s="36"/>
      <c r="H38" s="36"/>
      <c r="I38" s="241"/>
    </row>
    <row r="39" spans="3:10" x14ac:dyDescent="0.25">
      <c r="C39" s="37" t="s">
        <v>58</v>
      </c>
      <c r="D39" s="38"/>
      <c r="E39" s="38">
        <f>SUM(E37:E38)</f>
        <v>894500</v>
      </c>
      <c r="F39" s="38">
        <f>SUM(F37:F38)</f>
        <v>0</v>
      </c>
      <c r="G39" s="39">
        <f>+'EGRESOS '!K184</f>
        <v>323174</v>
      </c>
      <c r="H39" s="39">
        <f>+H36+E39-G39</f>
        <v>706740</v>
      </c>
      <c r="I39" s="241"/>
    </row>
    <row r="40" spans="3:10" x14ac:dyDescent="0.25">
      <c r="C40" s="45">
        <v>11</v>
      </c>
      <c r="D40" s="35" t="s">
        <v>56</v>
      </c>
      <c r="E40" s="35">
        <f>124000+222000</f>
        <v>346000</v>
      </c>
      <c r="F40" s="36"/>
      <c r="G40" s="36"/>
      <c r="H40" s="36"/>
      <c r="I40" s="240"/>
    </row>
    <row r="41" spans="3:10" x14ac:dyDescent="0.25">
      <c r="C41" s="45">
        <v>11</v>
      </c>
      <c r="D41" s="35" t="s">
        <v>57</v>
      </c>
      <c r="E41" s="35">
        <f>53000+146000</f>
        <v>199000</v>
      </c>
      <c r="F41" s="36"/>
      <c r="G41" s="36"/>
      <c r="H41" s="36"/>
      <c r="I41" s="240"/>
    </row>
    <row r="42" spans="3:10" x14ac:dyDescent="0.25">
      <c r="C42" s="37" t="s">
        <v>58</v>
      </c>
      <c r="D42" s="38"/>
      <c r="E42" s="38">
        <f>SUM(E40:E41)</f>
        <v>545000</v>
      </c>
      <c r="F42" s="38">
        <f>SUM(F40:F41)</f>
        <v>0</v>
      </c>
      <c r="G42" s="39">
        <f>+'EGRESOS '!K202</f>
        <v>349930</v>
      </c>
      <c r="H42" s="39">
        <f>+H39+E42-G42</f>
        <v>901810</v>
      </c>
      <c r="I42" s="240"/>
    </row>
    <row r="43" spans="3:10" x14ac:dyDescent="0.25">
      <c r="C43" s="47">
        <v>12</v>
      </c>
      <c r="D43" s="35" t="s">
        <v>56</v>
      </c>
      <c r="E43" s="35">
        <f>249000+204700</f>
        <v>453700</v>
      </c>
      <c r="F43" s="36"/>
      <c r="G43" s="36"/>
      <c r="H43" s="36"/>
      <c r="I43" s="240"/>
    </row>
    <row r="44" spans="3:10" x14ac:dyDescent="0.25">
      <c r="C44" s="47">
        <v>12</v>
      </c>
      <c r="D44" s="35" t="s">
        <v>57</v>
      </c>
      <c r="E44" s="35">
        <f>21000+203700</f>
        <v>224700</v>
      </c>
      <c r="F44" s="36"/>
      <c r="G44" s="36"/>
      <c r="H44" s="36"/>
      <c r="I44" s="240"/>
    </row>
    <row r="45" spans="3:10" x14ac:dyDescent="0.25">
      <c r="C45" s="37" t="s">
        <v>58</v>
      </c>
      <c r="D45" s="38"/>
      <c r="E45" s="38">
        <f>SUM(E43:E44)</f>
        <v>678400</v>
      </c>
      <c r="F45" s="38">
        <f>SUM(F43:F44)</f>
        <v>0</v>
      </c>
      <c r="G45" s="39">
        <f>+'EGRESOS '!K222</f>
        <v>1098013</v>
      </c>
      <c r="H45" s="39">
        <f>+H42+E45-G45</f>
        <v>482197</v>
      </c>
      <c r="I45" s="240"/>
    </row>
    <row r="46" spans="3:10" x14ac:dyDescent="0.25">
      <c r="C46" s="46">
        <v>13</v>
      </c>
      <c r="D46" s="35" t="s">
        <v>56</v>
      </c>
      <c r="E46" s="35">
        <f>164000+306000</f>
        <v>470000</v>
      </c>
      <c r="F46" s="36"/>
      <c r="G46" s="36"/>
      <c r="H46" s="36"/>
      <c r="I46" s="240"/>
      <c r="J46" s="127"/>
    </row>
    <row r="47" spans="3:10" x14ac:dyDescent="0.25">
      <c r="C47" s="46">
        <v>13</v>
      </c>
      <c r="D47" s="35" t="s">
        <v>57</v>
      </c>
      <c r="E47" s="35">
        <f>18000+184000</f>
        <v>202000</v>
      </c>
      <c r="F47" s="36"/>
      <c r="G47" s="36"/>
      <c r="H47" s="36"/>
      <c r="I47" s="240"/>
      <c r="J47" s="127"/>
    </row>
    <row r="48" spans="3:10" x14ac:dyDescent="0.25">
      <c r="C48" s="37" t="s">
        <v>58</v>
      </c>
      <c r="D48" s="38"/>
      <c r="E48" s="38">
        <f>SUM(E46:E47)</f>
        <v>672000</v>
      </c>
      <c r="F48" s="38">
        <f>SUM(F46:F47)</f>
        <v>0</v>
      </c>
      <c r="G48" s="39">
        <f>+'EGRESOS '!K240</f>
        <v>359841</v>
      </c>
      <c r="H48" s="39">
        <f>+H45+E48-G48</f>
        <v>794356</v>
      </c>
      <c r="I48" s="240"/>
      <c r="J48" s="127"/>
    </row>
    <row r="49" spans="3:9" x14ac:dyDescent="0.25">
      <c r="C49" s="48">
        <v>14</v>
      </c>
      <c r="D49" s="35" t="s">
        <v>56</v>
      </c>
      <c r="E49" s="35">
        <f>159000+393500</f>
        <v>552500</v>
      </c>
      <c r="F49" s="36"/>
      <c r="G49" s="36"/>
      <c r="H49" s="36"/>
      <c r="I49" s="240"/>
    </row>
    <row r="50" spans="3:9" x14ac:dyDescent="0.25">
      <c r="C50" s="48">
        <v>14</v>
      </c>
      <c r="D50" s="35" t="s">
        <v>57</v>
      </c>
      <c r="E50" s="35">
        <f>107000+181000</f>
        <v>288000</v>
      </c>
      <c r="F50" s="36"/>
      <c r="G50" s="36"/>
      <c r="H50" s="36"/>
      <c r="I50" s="240"/>
    </row>
    <row r="51" spans="3:9" x14ac:dyDescent="0.25">
      <c r="C51" s="37" t="s">
        <v>58</v>
      </c>
      <c r="D51" s="38"/>
      <c r="E51" s="38">
        <f>SUM(E49:E50)</f>
        <v>840500</v>
      </c>
      <c r="F51" s="38">
        <f>SUM(F49:F50)</f>
        <v>0</v>
      </c>
      <c r="G51" s="39">
        <f>+'EGRESOS '!K259</f>
        <v>453200</v>
      </c>
      <c r="H51" s="39">
        <f>+H48+E51-G51</f>
        <v>1181656</v>
      </c>
      <c r="I51" s="240"/>
    </row>
    <row r="52" spans="3:9" x14ac:dyDescent="0.25">
      <c r="C52" s="47">
        <v>15</v>
      </c>
      <c r="D52" s="35" t="s">
        <v>56</v>
      </c>
      <c r="E52" s="35">
        <f>192000+563000</f>
        <v>755000</v>
      </c>
      <c r="F52" s="36"/>
      <c r="G52" s="36"/>
      <c r="H52" s="36"/>
      <c r="I52" s="240"/>
    </row>
    <row r="53" spans="3:9" x14ac:dyDescent="0.25">
      <c r="C53" s="47">
        <v>15</v>
      </c>
      <c r="D53" s="35" t="s">
        <v>57</v>
      </c>
      <c r="E53" s="35">
        <f>46500+279000</f>
        <v>325500</v>
      </c>
      <c r="F53" s="36"/>
      <c r="G53" s="36"/>
      <c r="H53" s="36"/>
      <c r="I53" s="240"/>
    </row>
    <row r="54" spans="3:9" x14ac:dyDescent="0.25">
      <c r="C54" s="37" t="s">
        <v>58</v>
      </c>
      <c r="D54" s="38"/>
      <c r="E54" s="38">
        <f>SUM(E52:E53)</f>
        <v>1080500</v>
      </c>
      <c r="F54" s="38">
        <f>SUM(F52:F53)</f>
        <v>0</v>
      </c>
      <c r="G54" s="39">
        <f>+'EGRESOS '!K278</f>
        <v>623010</v>
      </c>
      <c r="H54" s="39">
        <f>+H51+E54-G54</f>
        <v>1639146</v>
      </c>
      <c r="I54" s="240"/>
    </row>
    <row r="55" spans="3:9" x14ac:dyDescent="0.25">
      <c r="C55" s="42">
        <v>16</v>
      </c>
      <c r="D55" s="35" t="s">
        <v>56</v>
      </c>
      <c r="E55" s="35">
        <f>363500+461000</f>
        <v>824500</v>
      </c>
      <c r="F55" s="36"/>
      <c r="G55" s="36"/>
      <c r="H55" s="36"/>
      <c r="I55" s="240"/>
    </row>
    <row r="56" spans="3:9" x14ac:dyDescent="0.25">
      <c r="C56" s="42">
        <v>16</v>
      </c>
      <c r="D56" s="35" t="s">
        <v>57</v>
      </c>
      <c r="E56" s="35">
        <f>38000+171000</f>
        <v>209000</v>
      </c>
      <c r="F56" s="36"/>
      <c r="G56" s="36"/>
      <c r="H56" s="36"/>
      <c r="I56" s="240"/>
    </row>
    <row r="57" spans="3:9" x14ac:dyDescent="0.25">
      <c r="C57" s="37" t="s">
        <v>58</v>
      </c>
      <c r="D57" s="38"/>
      <c r="E57" s="38">
        <f>SUM(E55:E56)</f>
        <v>1033500</v>
      </c>
      <c r="F57" s="38">
        <f>SUM(F55:F56)</f>
        <v>0</v>
      </c>
      <c r="G57" s="39">
        <f>+'EGRESOS '!K296</f>
        <v>879733</v>
      </c>
      <c r="H57" s="39">
        <f>+H54+E57-G57</f>
        <v>1792913</v>
      </c>
      <c r="I57" s="240"/>
    </row>
    <row r="58" spans="3:9" x14ac:dyDescent="0.25">
      <c r="C58" s="47">
        <v>17</v>
      </c>
      <c r="D58" s="35" t="s">
        <v>56</v>
      </c>
      <c r="E58" s="35">
        <f>198500+330000</f>
        <v>528500</v>
      </c>
      <c r="F58" s="36"/>
      <c r="G58" s="36"/>
      <c r="H58" s="36"/>
      <c r="I58" s="240"/>
    </row>
    <row r="59" spans="3:9" x14ac:dyDescent="0.25">
      <c r="C59" s="47">
        <v>17</v>
      </c>
      <c r="D59" s="35" t="s">
        <v>57</v>
      </c>
      <c r="E59" s="35">
        <v>96000</v>
      </c>
      <c r="F59" s="36"/>
      <c r="G59" s="36"/>
      <c r="H59" s="36"/>
      <c r="I59" s="240"/>
    </row>
    <row r="60" spans="3:9" x14ac:dyDescent="0.25">
      <c r="C60" s="37" t="s">
        <v>58</v>
      </c>
      <c r="D60" s="38"/>
      <c r="E60" s="38">
        <f>SUM(E58:E59)</f>
        <v>624500</v>
      </c>
      <c r="F60" s="38">
        <f>SUM(F58:F59)</f>
        <v>0</v>
      </c>
      <c r="G60" s="39">
        <f>+'EGRESOS '!K315</f>
        <v>447629</v>
      </c>
      <c r="H60" s="39">
        <f>+H57+E60-G60</f>
        <v>1969784</v>
      </c>
      <c r="I60" s="240"/>
    </row>
    <row r="61" spans="3:9" x14ac:dyDescent="0.25">
      <c r="C61" s="46">
        <v>18</v>
      </c>
      <c r="D61" s="35" t="s">
        <v>56</v>
      </c>
      <c r="E61" s="35">
        <f>143000+468500</f>
        <v>611500</v>
      </c>
      <c r="F61" s="36"/>
      <c r="G61" s="36"/>
      <c r="H61" s="36"/>
      <c r="I61" s="240"/>
    </row>
    <row r="62" spans="3:9" x14ac:dyDescent="0.25">
      <c r="C62" s="46">
        <v>18</v>
      </c>
      <c r="D62" s="35" t="s">
        <v>57</v>
      </c>
      <c r="E62" s="35">
        <f>131500</f>
        <v>131500</v>
      </c>
      <c r="F62" s="36"/>
      <c r="G62" s="36"/>
      <c r="H62" s="36"/>
      <c r="I62" s="240"/>
    </row>
    <row r="63" spans="3:9" x14ac:dyDescent="0.25">
      <c r="C63" s="37" t="s">
        <v>58</v>
      </c>
      <c r="D63" s="38"/>
      <c r="E63" s="38">
        <f>SUM(E61:E62)</f>
        <v>743000</v>
      </c>
      <c r="F63" s="38">
        <f>SUM(F61:F62)</f>
        <v>0</v>
      </c>
      <c r="G63" s="39">
        <f>+'EGRESOS '!K332</f>
        <v>354550</v>
      </c>
      <c r="H63" s="39">
        <f>+H60+E63-G63</f>
        <v>2358234</v>
      </c>
      <c r="I63" s="240"/>
    </row>
    <row r="64" spans="3:9" x14ac:dyDescent="0.25">
      <c r="C64" s="48">
        <v>19</v>
      </c>
      <c r="D64" s="35" t="s">
        <v>56</v>
      </c>
      <c r="E64" s="35">
        <f>316000+276500</f>
        <v>592500</v>
      </c>
      <c r="F64" s="36"/>
      <c r="G64" s="36"/>
      <c r="H64" s="36"/>
      <c r="I64" s="240"/>
    </row>
    <row r="65" spans="3:9" x14ac:dyDescent="0.25">
      <c r="C65" s="48">
        <v>19</v>
      </c>
      <c r="D65" s="35" t="s">
        <v>57</v>
      </c>
      <c r="E65" s="35">
        <f>46900+81000</f>
        <v>127900</v>
      </c>
      <c r="F65" s="36"/>
      <c r="G65" s="36"/>
      <c r="H65" s="36"/>
      <c r="I65" s="240"/>
    </row>
    <row r="66" spans="3:9" x14ac:dyDescent="0.25">
      <c r="C66" s="37" t="s">
        <v>58</v>
      </c>
      <c r="D66" s="38"/>
      <c r="E66" s="38">
        <f>SUM(E64:E65)</f>
        <v>720400</v>
      </c>
      <c r="F66" s="38">
        <f>SUM(F64:F65)</f>
        <v>0</v>
      </c>
      <c r="G66" s="39">
        <f>+'EGRESOS '!K350</f>
        <v>953572</v>
      </c>
      <c r="H66" s="39">
        <f>+H63+E66-G66</f>
        <v>2125062</v>
      </c>
      <c r="I66" s="240"/>
    </row>
    <row r="67" spans="3:9" x14ac:dyDescent="0.25">
      <c r="C67" s="49">
        <v>20</v>
      </c>
      <c r="D67" s="35" t="s">
        <v>56</v>
      </c>
      <c r="E67" s="35">
        <f>122000+749500</f>
        <v>871500</v>
      </c>
      <c r="F67" s="36"/>
      <c r="G67" s="36"/>
      <c r="H67" s="36"/>
      <c r="I67" s="241" t="s">
        <v>210</v>
      </c>
    </row>
    <row r="68" spans="3:9" x14ac:dyDescent="0.25">
      <c r="C68" s="49">
        <v>20</v>
      </c>
      <c r="D68" s="35" t="s">
        <v>57</v>
      </c>
      <c r="E68" s="35">
        <f>68000+196500</f>
        <v>264500</v>
      </c>
      <c r="F68" s="36"/>
      <c r="G68" s="36"/>
      <c r="H68" s="36"/>
      <c r="I68" s="241"/>
    </row>
    <row r="69" spans="3:9" x14ac:dyDescent="0.25">
      <c r="C69" s="37" t="s">
        <v>58</v>
      </c>
      <c r="D69" s="38"/>
      <c r="E69" s="38">
        <f>SUM(E67:E68)</f>
        <v>1136000</v>
      </c>
      <c r="F69" s="38">
        <f>SUM(F67:F68)</f>
        <v>0</v>
      </c>
      <c r="G69" s="39">
        <f>+'EGRESOS '!K370</f>
        <v>430778</v>
      </c>
      <c r="H69" s="39">
        <f>+H66+E69-G69</f>
        <v>2830284</v>
      </c>
      <c r="I69" s="241"/>
    </row>
    <row r="70" spans="3:9" x14ac:dyDescent="0.25">
      <c r="C70" s="47">
        <v>21</v>
      </c>
      <c r="D70" s="35" t="s">
        <v>56</v>
      </c>
      <c r="E70" s="35">
        <f>336400+884500</f>
        <v>1220900</v>
      </c>
      <c r="F70" s="36"/>
      <c r="G70" s="36"/>
      <c r="H70" s="36"/>
      <c r="I70" s="240"/>
    </row>
    <row r="71" spans="3:9" x14ac:dyDescent="0.25">
      <c r="C71" s="47">
        <v>21</v>
      </c>
      <c r="D71" s="35" t="s">
        <v>57</v>
      </c>
      <c r="E71" s="35">
        <v>300000</v>
      </c>
      <c r="F71" s="36"/>
      <c r="G71" s="36"/>
      <c r="H71" s="36"/>
      <c r="I71" s="240"/>
    </row>
    <row r="72" spans="3:9" x14ac:dyDescent="0.25">
      <c r="C72" s="37" t="s">
        <v>58</v>
      </c>
      <c r="D72" s="38"/>
      <c r="E72" s="38">
        <f>SUM(E70:E71)</f>
        <v>1520900</v>
      </c>
      <c r="F72" s="38">
        <f>SUM(F70:F71)</f>
        <v>0</v>
      </c>
      <c r="G72" s="39">
        <f>+'EGRESOS '!K389</f>
        <v>626260</v>
      </c>
      <c r="H72" s="39">
        <f>+H69+E72-G72</f>
        <v>3724924</v>
      </c>
      <c r="I72" s="240"/>
    </row>
    <row r="73" spans="3:9" x14ac:dyDescent="0.25">
      <c r="C73" s="50">
        <v>22</v>
      </c>
      <c r="D73" s="35" t="s">
        <v>56</v>
      </c>
      <c r="E73" s="35">
        <f>207700+258000</f>
        <v>465700</v>
      </c>
      <c r="F73" s="36"/>
      <c r="G73" s="36"/>
      <c r="H73" s="36"/>
      <c r="I73" s="240"/>
    </row>
    <row r="74" spans="3:9" x14ac:dyDescent="0.25">
      <c r="C74" s="50">
        <v>22</v>
      </c>
      <c r="D74" s="35" t="s">
        <v>57</v>
      </c>
      <c r="E74" s="35">
        <f>132000</f>
        <v>132000</v>
      </c>
      <c r="F74" s="36"/>
      <c r="G74" s="36"/>
      <c r="H74" s="36"/>
      <c r="I74" s="240"/>
    </row>
    <row r="75" spans="3:9" x14ac:dyDescent="0.25">
      <c r="C75" s="37" t="s">
        <v>58</v>
      </c>
      <c r="D75" s="38"/>
      <c r="E75" s="38">
        <f>SUM(E73:E74)</f>
        <v>597700</v>
      </c>
      <c r="F75" s="38">
        <f>SUM(F73:F74)</f>
        <v>0</v>
      </c>
      <c r="G75" s="39">
        <f>+'EGRESOS '!K408</f>
        <v>448445</v>
      </c>
      <c r="H75" s="39">
        <f>+H72+E75-G75</f>
        <v>3874179</v>
      </c>
      <c r="I75" s="240"/>
    </row>
    <row r="76" spans="3:9" x14ac:dyDescent="0.25">
      <c r="C76" s="46">
        <v>23</v>
      </c>
      <c r="D76" s="35" t="s">
        <v>56</v>
      </c>
      <c r="E76" s="35">
        <f>122500+256000</f>
        <v>378500</v>
      </c>
      <c r="F76" s="36"/>
      <c r="G76" s="36"/>
      <c r="H76" s="36"/>
      <c r="I76" s="240"/>
    </row>
    <row r="77" spans="3:9" x14ac:dyDescent="0.25">
      <c r="C77" s="46">
        <v>23</v>
      </c>
      <c r="D77" s="35" t="s">
        <v>57</v>
      </c>
      <c r="E77" s="35">
        <f>84000+184000</f>
        <v>268000</v>
      </c>
      <c r="F77" s="36"/>
      <c r="G77" s="36"/>
      <c r="H77" s="36"/>
      <c r="I77" s="240"/>
    </row>
    <row r="78" spans="3:9" x14ac:dyDescent="0.25">
      <c r="C78" s="37" t="s">
        <v>58</v>
      </c>
      <c r="D78" s="38"/>
      <c r="E78" s="38">
        <f>SUM(E76:E77)</f>
        <v>646500</v>
      </c>
      <c r="F78" s="38">
        <f>SUM(F76:F77)</f>
        <v>0</v>
      </c>
      <c r="G78" s="39">
        <f>+'EGRESOS '!K425</f>
        <v>881013</v>
      </c>
      <c r="H78" s="39">
        <f>+H75+E78-G78</f>
        <v>3639666</v>
      </c>
      <c r="I78" s="240"/>
    </row>
    <row r="79" spans="3:9" x14ac:dyDescent="0.25">
      <c r="C79" s="49">
        <v>24</v>
      </c>
      <c r="D79" s="35" t="s">
        <v>56</v>
      </c>
      <c r="E79" s="35">
        <f>166000+338000</f>
        <v>504000</v>
      </c>
      <c r="F79" s="36"/>
      <c r="G79" s="36"/>
      <c r="H79" s="36"/>
      <c r="I79" s="240"/>
    </row>
    <row r="80" spans="3:9" x14ac:dyDescent="0.25">
      <c r="C80" s="49">
        <v>24</v>
      </c>
      <c r="D80" s="35" t="s">
        <v>57</v>
      </c>
      <c r="E80" s="35">
        <f>11000+154000</f>
        <v>165000</v>
      </c>
      <c r="F80" s="36"/>
      <c r="G80" s="36"/>
      <c r="H80" s="36"/>
      <c r="I80" s="240"/>
    </row>
    <row r="81" spans="3:9" x14ac:dyDescent="0.25">
      <c r="C81" s="37" t="s">
        <v>58</v>
      </c>
      <c r="D81" s="38"/>
      <c r="E81" s="38">
        <f>SUM(E79:E80)</f>
        <v>669000</v>
      </c>
      <c r="F81" s="38">
        <f>SUM(F79:F80)</f>
        <v>0</v>
      </c>
      <c r="G81" s="39">
        <f>+'EGRESOS '!K442</f>
        <v>1139864</v>
      </c>
      <c r="H81" s="39">
        <f>+H78+E81-G81</f>
        <v>3168802</v>
      </c>
      <c r="I81" s="240"/>
    </row>
    <row r="82" spans="3:9" x14ac:dyDescent="0.25">
      <c r="C82" s="51">
        <v>25</v>
      </c>
      <c r="D82" s="35" t="s">
        <v>56</v>
      </c>
      <c r="E82" s="35">
        <f>128000+278500</f>
        <v>406500</v>
      </c>
      <c r="F82" s="36"/>
      <c r="G82" s="36"/>
      <c r="H82" s="36"/>
      <c r="I82" s="240"/>
    </row>
    <row r="83" spans="3:9" x14ac:dyDescent="0.25">
      <c r="C83" s="51">
        <v>25</v>
      </c>
      <c r="D83" s="35" t="s">
        <v>57</v>
      </c>
      <c r="E83" s="35">
        <v>239000</v>
      </c>
      <c r="F83" s="36"/>
      <c r="G83" s="36"/>
      <c r="H83" s="36"/>
      <c r="I83" s="240"/>
    </row>
    <row r="84" spans="3:9" x14ac:dyDescent="0.25">
      <c r="C84" s="37" t="s">
        <v>58</v>
      </c>
      <c r="D84" s="38"/>
      <c r="E84" s="38">
        <f>SUM(E82:E83)</f>
        <v>645500</v>
      </c>
      <c r="F84" s="38">
        <f>SUM(F82:F83)</f>
        <v>0</v>
      </c>
      <c r="G84" s="39">
        <f>+'EGRESOS '!K459</f>
        <v>608689</v>
      </c>
      <c r="H84" s="39">
        <f>+H81+E84-G84</f>
        <v>3205613</v>
      </c>
      <c r="I84" s="240"/>
    </row>
    <row r="85" spans="3:9" x14ac:dyDescent="0.25">
      <c r="C85" s="46">
        <v>26</v>
      </c>
      <c r="D85" s="35" t="s">
        <v>56</v>
      </c>
      <c r="E85" s="35">
        <f>116000+376500</f>
        <v>492500</v>
      </c>
      <c r="F85" s="36"/>
      <c r="G85" s="36"/>
      <c r="H85" s="36"/>
      <c r="I85" s="240"/>
    </row>
    <row r="86" spans="3:9" x14ac:dyDescent="0.25">
      <c r="C86" s="46">
        <v>26</v>
      </c>
      <c r="D86" s="35" t="s">
        <v>57</v>
      </c>
      <c r="E86" s="35">
        <f>106000+254000</f>
        <v>360000</v>
      </c>
      <c r="F86" s="36"/>
      <c r="G86" s="36"/>
      <c r="H86" s="36"/>
      <c r="I86" s="240"/>
    </row>
    <row r="87" spans="3:9" x14ac:dyDescent="0.25">
      <c r="C87" s="37" t="s">
        <v>58</v>
      </c>
      <c r="D87" s="38"/>
      <c r="E87" s="38">
        <f>SUM(E85:E86)</f>
        <v>852500</v>
      </c>
      <c r="F87" s="38">
        <f>SUM(F85:F86)</f>
        <v>0</v>
      </c>
      <c r="G87" s="39">
        <f>+'EGRESOS '!K476</f>
        <v>497485</v>
      </c>
      <c r="H87" s="39">
        <f>+H84+E87-G87</f>
        <v>3560628</v>
      </c>
      <c r="I87" s="240"/>
    </row>
    <row r="88" spans="3:9" x14ac:dyDescent="0.25">
      <c r="C88" s="50">
        <v>27</v>
      </c>
      <c r="D88" s="35" t="s">
        <v>56</v>
      </c>
      <c r="E88" s="35">
        <f>100000+171000</f>
        <v>271000</v>
      </c>
      <c r="F88" s="36"/>
      <c r="G88" s="36"/>
      <c r="H88" s="36"/>
      <c r="I88" s="240"/>
    </row>
    <row r="89" spans="3:9" x14ac:dyDescent="0.25">
      <c r="C89" s="50">
        <v>27</v>
      </c>
      <c r="D89" s="35" t="s">
        <v>57</v>
      </c>
      <c r="E89" s="35">
        <f>96000+45000</f>
        <v>141000</v>
      </c>
      <c r="F89" s="36"/>
      <c r="G89" s="36"/>
      <c r="H89" s="36"/>
      <c r="I89" s="240"/>
    </row>
    <row r="90" spans="3:9" x14ac:dyDescent="0.25">
      <c r="C90" s="37" t="s">
        <v>58</v>
      </c>
      <c r="D90" s="38"/>
      <c r="E90" s="38">
        <f>SUM(E88:E89)</f>
        <v>412000</v>
      </c>
      <c r="F90" s="38">
        <f>SUM(F88:F89)</f>
        <v>0</v>
      </c>
      <c r="G90" s="39">
        <f>+'EGRESOS '!K493</f>
        <v>447820</v>
      </c>
      <c r="H90" s="39">
        <f>+H87+E90-G90</f>
        <v>3524808</v>
      </c>
      <c r="I90" s="240"/>
    </row>
    <row r="91" spans="3:9" x14ac:dyDescent="0.25">
      <c r="C91" s="52">
        <v>28</v>
      </c>
      <c r="D91" s="35" t="s">
        <v>56</v>
      </c>
      <c r="E91" s="35">
        <f>113000+565000</f>
        <v>678000</v>
      </c>
      <c r="F91" s="36"/>
      <c r="G91" s="36"/>
      <c r="H91" s="36"/>
      <c r="I91" s="240"/>
    </row>
    <row r="92" spans="3:9" x14ac:dyDescent="0.25">
      <c r="C92" s="52">
        <v>28</v>
      </c>
      <c r="D92" s="35" t="s">
        <v>57</v>
      </c>
      <c r="E92" s="35">
        <f>61000+274000</f>
        <v>335000</v>
      </c>
      <c r="F92" s="36"/>
      <c r="G92" s="36"/>
      <c r="H92" s="36"/>
      <c r="I92" s="240"/>
    </row>
    <row r="93" spans="3:9" x14ac:dyDescent="0.25">
      <c r="C93" s="37" t="s">
        <v>58</v>
      </c>
      <c r="D93" s="38"/>
      <c r="E93" s="38">
        <f>SUM(E91:E92)</f>
        <v>1013000</v>
      </c>
      <c r="F93" s="38">
        <f>SUM(F91:F92)</f>
        <v>0</v>
      </c>
      <c r="G93" s="39">
        <f>+'EGRESOS '!K510</f>
        <v>373870</v>
      </c>
      <c r="H93" s="39">
        <f>+H90+E93-G93</f>
        <v>4163938</v>
      </c>
      <c r="I93" s="240"/>
    </row>
    <row r="94" spans="3:9" x14ac:dyDescent="0.25">
      <c r="C94" s="53">
        <v>29</v>
      </c>
      <c r="D94" s="35" t="s">
        <v>56</v>
      </c>
      <c r="E94" s="35">
        <f>161000+401000</f>
        <v>562000</v>
      </c>
      <c r="F94" s="36"/>
      <c r="G94" s="36"/>
      <c r="H94" s="36"/>
      <c r="I94" s="240"/>
    </row>
    <row r="95" spans="3:9" x14ac:dyDescent="0.25">
      <c r="C95" s="53">
        <v>29</v>
      </c>
      <c r="D95" s="35" t="s">
        <v>57</v>
      </c>
      <c r="E95" s="35">
        <f>40000+199000</f>
        <v>239000</v>
      </c>
      <c r="F95" s="36"/>
      <c r="G95" s="36"/>
      <c r="H95" s="36"/>
      <c r="I95" s="240"/>
    </row>
    <row r="96" spans="3:9" x14ac:dyDescent="0.25">
      <c r="C96" s="37" t="s">
        <v>58</v>
      </c>
      <c r="D96" s="38"/>
      <c r="E96" s="38">
        <f>SUM(E94:E95)</f>
        <v>801000</v>
      </c>
      <c r="F96" s="38">
        <f>SUM(F94:F95)</f>
        <v>0</v>
      </c>
      <c r="G96" s="39">
        <f>+'EGRESOS '!K527</f>
        <v>456360</v>
      </c>
      <c r="H96" s="39">
        <f>+H93+E96-G96</f>
        <v>4508578</v>
      </c>
      <c r="I96" s="240"/>
    </row>
    <row r="97" spans="3:10" x14ac:dyDescent="0.25">
      <c r="C97" s="54">
        <v>30</v>
      </c>
      <c r="D97" s="35" t="s">
        <v>56</v>
      </c>
      <c r="E97" s="35">
        <f>188000+304000</f>
        <v>492000</v>
      </c>
      <c r="F97" s="36"/>
      <c r="G97" s="36"/>
      <c r="H97" s="36"/>
      <c r="I97" s="240"/>
      <c r="J97" s="127"/>
    </row>
    <row r="98" spans="3:10" x14ac:dyDescent="0.25">
      <c r="C98" s="54">
        <v>30</v>
      </c>
      <c r="D98" s="35" t="s">
        <v>57</v>
      </c>
      <c r="E98" s="35">
        <f>97000+124000</f>
        <v>221000</v>
      </c>
      <c r="F98" s="36"/>
      <c r="G98" s="36"/>
      <c r="H98" s="36"/>
      <c r="I98" s="240"/>
      <c r="J98" s="127"/>
    </row>
    <row r="99" spans="3:10" x14ac:dyDescent="0.25">
      <c r="C99" s="37" t="s">
        <v>58</v>
      </c>
      <c r="D99" s="38"/>
      <c r="E99" s="38">
        <f>SUM(E97:E98)</f>
        <v>713000</v>
      </c>
      <c r="F99" s="38">
        <f>SUM(F97:F98)</f>
        <v>0</v>
      </c>
      <c r="G99" s="39">
        <f>+'EGRESOS '!K544</f>
        <v>538020</v>
      </c>
      <c r="H99" s="39">
        <f>+H96+E99-G99</f>
        <v>4683558</v>
      </c>
      <c r="I99" s="240"/>
      <c r="J99" s="127"/>
    </row>
    <row r="100" spans="3:10" x14ac:dyDescent="0.25">
      <c r="C100" s="46">
        <v>31</v>
      </c>
      <c r="D100" s="35" t="s">
        <v>56</v>
      </c>
      <c r="E100" s="35"/>
      <c r="F100" s="36"/>
      <c r="G100" s="36"/>
      <c r="H100" s="36"/>
      <c r="I100" s="240"/>
    </row>
    <row r="101" spans="3:10" x14ac:dyDescent="0.25">
      <c r="C101" s="46">
        <v>31</v>
      </c>
      <c r="D101" s="35" t="s">
        <v>57</v>
      </c>
      <c r="E101" s="35"/>
      <c r="F101" s="36"/>
      <c r="G101" s="36"/>
      <c r="H101" s="36"/>
      <c r="I101" s="240"/>
    </row>
    <row r="102" spans="3:10" x14ac:dyDescent="0.25">
      <c r="C102" s="37" t="s">
        <v>58</v>
      </c>
      <c r="D102" s="38"/>
      <c r="E102" s="38">
        <f>SUM(E100:E101)</f>
        <v>0</v>
      </c>
      <c r="F102" s="38">
        <f>SUM(F100:F101)</f>
        <v>0</v>
      </c>
      <c r="G102" s="39">
        <f>+'EGRESOS '!K561</f>
        <v>0</v>
      </c>
      <c r="H102" s="39">
        <f>+H99+E102-G102</f>
        <v>4683558</v>
      </c>
      <c r="I102" s="240"/>
    </row>
    <row r="103" spans="3:10" ht="15.75" thickBot="1" x14ac:dyDescent="0.3">
      <c r="C103" s="238" t="s">
        <v>12</v>
      </c>
      <c r="D103" s="239"/>
      <c r="E103" s="76">
        <f>+E102+E99+E96+E93+E90+E87+E84+E81+E78+E75+E72+E69+E66+E63+E60+E57+E54+E51+E48+E45+E42+E39+E36+E33+E30+E27+E24+E21+E18+E15+E12</f>
        <v>23396400</v>
      </c>
      <c r="F103" s="76">
        <f>+F102+F99+F96+F93+F90+F87+F84+F81+F78+F75+F72+F69+F66+F63+F60+F57+F54+F51+F48+F45+F42+F39+F36+F33+F30+F27+F24+F21+F18+F15+F12</f>
        <v>0</v>
      </c>
      <c r="G103" s="77">
        <f>+G102+G99+G96+G93+G90+G87+G84+G81+G78+G75+G72+G69+G66+G63+G60+G57+G54+G51+G48+G45+G42+G39+G36+G33+G30+G27+G24+G21+G18+G15+G12</f>
        <v>18712842</v>
      </c>
      <c r="H103" s="77">
        <f>+E103-G103</f>
        <v>4683558</v>
      </c>
      <c r="I103" s="78"/>
    </row>
  </sheetData>
  <autoFilter ref="C9:I103" xr:uid="{24B04675-00A6-47FC-83D6-C4E6080DCAD7}"/>
  <mergeCells count="36">
    <mergeCell ref="I94:I96"/>
    <mergeCell ref="I97:I99"/>
    <mergeCell ref="I64:I66"/>
    <mergeCell ref="I67:I69"/>
    <mergeCell ref="I70:I72"/>
    <mergeCell ref="I73:I75"/>
    <mergeCell ref="I76:I78"/>
    <mergeCell ref="C6:I6"/>
    <mergeCell ref="I82:I84"/>
    <mergeCell ref="I85:I87"/>
    <mergeCell ref="I88:I90"/>
    <mergeCell ref="I91:I93"/>
    <mergeCell ref="I52:I54"/>
    <mergeCell ref="I40:I42"/>
    <mergeCell ref="I79:I81"/>
    <mergeCell ref="I46:I48"/>
    <mergeCell ref="I49:I51"/>
    <mergeCell ref="I55:I57"/>
    <mergeCell ref="I58:I60"/>
    <mergeCell ref="I61:I63"/>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zoomScale="70" zoomScaleNormal="70" workbookViewId="0">
      <selection activeCell="G27" sqref="G27"/>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52" t="s">
        <v>49</v>
      </c>
      <c r="D3" s="253"/>
      <c r="F3" s="251"/>
      <c r="G3" s="251"/>
      <c r="H3" s="251"/>
      <c r="I3" s="251"/>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16760300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6636100</v>
      </c>
      <c r="E5" s="71"/>
      <c r="F5" s="71"/>
      <c r="G5" s="71"/>
      <c r="H5" s="71"/>
      <c r="I5" s="71"/>
      <c r="J5" s="80"/>
      <c r="K5" s="71"/>
    </row>
    <row r="6" spans="3:11" x14ac:dyDescent="0.25">
      <c r="C6" s="82" t="s">
        <v>12</v>
      </c>
      <c r="D6" s="83">
        <f>+D4+D5</f>
        <v>23396400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54" t="s">
        <v>60</v>
      </c>
      <c r="D12" s="255"/>
      <c r="E12" s="68" t="s">
        <v>61</v>
      </c>
      <c r="F12" s="68" t="s">
        <v>62</v>
      </c>
      <c r="G12" s="68" t="s">
        <v>63</v>
      </c>
      <c r="H12" s="68" t="s">
        <v>9</v>
      </c>
      <c r="I12" s="38" t="s">
        <v>64</v>
      </c>
    </row>
    <row r="13" spans="3:11" x14ac:dyDescent="0.25">
      <c r="C13" s="256" t="s">
        <v>27</v>
      </c>
      <c r="D13" s="257"/>
      <c r="E13" s="68">
        <f>+'EGRESOS '!F563</f>
        <v>10636433</v>
      </c>
      <c r="F13" s="68">
        <f>+'EGRESOS '!G563</f>
        <v>5015000</v>
      </c>
      <c r="G13" s="68">
        <f>+'EGRESOS '!H563</f>
        <v>1830650</v>
      </c>
      <c r="H13" s="68">
        <f>+'EGRESOS '!I563</f>
        <v>1230759</v>
      </c>
      <c r="I13" s="38">
        <f>SUM(E13:H13)</f>
        <v>18712842</v>
      </c>
    </row>
    <row r="14" spans="3:11" x14ac:dyDescent="0.25">
      <c r="C14" s="243" t="s">
        <v>65</v>
      </c>
      <c r="D14" s="244"/>
      <c r="E14" s="86">
        <f>+IFERROR(E13/I13,"revisar")</f>
        <v>0.56840286472786972</v>
      </c>
      <c r="F14" s="86">
        <f>+IFERROR(F13/I13,"revisar")</f>
        <v>0.26799777393514035</v>
      </c>
      <c r="G14" s="86">
        <f>+IFERROR(G13/I13,"revisar")</f>
        <v>9.7828539352814506E-2</v>
      </c>
      <c r="H14" s="86">
        <f>+IFERROR(H13/I13,"revisar")</f>
        <v>6.5770821984175359E-2</v>
      </c>
      <c r="I14" s="86">
        <f>SUM(E14:H14)</f>
        <v>1</v>
      </c>
    </row>
    <row r="15" spans="3:11" x14ac:dyDescent="0.25">
      <c r="C15" s="243" t="s">
        <v>66</v>
      </c>
      <c r="D15" s="244"/>
      <c r="E15" s="70"/>
      <c r="F15" s="70"/>
      <c r="G15" s="69"/>
      <c r="H15" s="69"/>
      <c r="I15" s="70"/>
    </row>
    <row r="16" spans="3:11" x14ac:dyDescent="0.25">
      <c r="C16" s="245" t="s">
        <v>67</v>
      </c>
      <c r="D16" s="246"/>
      <c r="E16" s="35"/>
      <c r="F16" s="35"/>
      <c r="G16" s="60"/>
      <c r="H16" s="60"/>
      <c r="I16" s="35"/>
    </row>
    <row r="17" spans="3:11" x14ac:dyDescent="0.25">
      <c r="C17" s="245" t="s">
        <v>68</v>
      </c>
      <c r="D17" s="246"/>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48"/>
      <c r="D20" s="248"/>
      <c r="E20" s="71"/>
      <c r="F20" s="89"/>
      <c r="G20" s="89"/>
      <c r="H20" s="90"/>
      <c r="I20" s="89"/>
      <c r="J20" s="80"/>
      <c r="K20" s="71"/>
    </row>
    <row r="21" spans="3:11" s="3" customFormat="1" x14ac:dyDescent="0.25">
      <c r="C21" s="249" t="s">
        <v>69</v>
      </c>
      <c r="D21" s="250"/>
      <c r="E21" s="71"/>
      <c r="G21" s="97"/>
      <c r="J21" s="80"/>
      <c r="K21" s="71"/>
    </row>
    <row r="22" spans="3:11" x14ac:dyDescent="0.25">
      <c r="C22" s="87" t="s">
        <v>59</v>
      </c>
      <c r="D22" s="88">
        <f>+'LIBRO DIARIO'!D39</f>
        <v>23396400</v>
      </c>
      <c r="F22" s="98"/>
      <c r="J22" s="80"/>
      <c r="K22" s="71"/>
    </row>
    <row r="23" spans="3:11" x14ac:dyDescent="0.25">
      <c r="C23" s="87" t="s">
        <v>70</v>
      </c>
      <c r="D23" s="88">
        <f>+'LIBRO DIARIO'!E39</f>
        <v>18712842</v>
      </c>
      <c r="E23" s="100">
        <f>IFERROR(D23/D22,"revisar")</f>
        <v>0.79981715135661902</v>
      </c>
      <c r="F23" s="247" t="s">
        <v>71</v>
      </c>
      <c r="G23" s="247"/>
      <c r="J23" s="80"/>
      <c r="K23" s="71"/>
    </row>
    <row r="24" spans="3:11" x14ac:dyDescent="0.25">
      <c r="C24" s="87" t="s">
        <v>72</v>
      </c>
      <c r="D24" s="88">
        <f>+D22-D23</f>
        <v>4683558</v>
      </c>
      <c r="E24" s="100">
        <f>IFERROR(D24/D22,"revisar")</f>
        <v>0.20018284864338104</v>
      </c>
      <c r="F24" s="247" t="s">
        <v>73</v>
      </c>
      <c r="G24" s="247"/>
      <c r="J24" s="80"/>
      <c r="K24" s="71"/>
    </row>
    <row r="25" spans="3:11" s="3" customFormat="1" x14ac:dyDescent="0.25">
      <c r="C25" s="71"/>
      <c r="D25" s="71"/>
      <c r="E25" s="85"/>
      <c r="J25" s="80"/>
      <c r="K25" s="71"/>
    </row>
    <row r="26" spans="3:11" s="3" customFormat="1" x14ac:dyDescent="0.25">
      <c r="C26" s="195" t="s">
        <v>166</v>
      </c>
      <c r="D26" s="116">
        <f>+ACCESORIOS!D405</f>
        <v>400500</v>
      </c>
      <c r="E26" s="85"/>
      <c r="J26" s="80"/>
      <c r="K26" s="71"/>
    </row>
    <row r="27" spans="3:11" s="3" customFormat="1" x14ac:dyDescent="0.25">
      <c r="C27" s="133" t="s">
        <v>167</v>
      </c>
      <c r="D27" s="62">
        <f ca="1">+SUMIF('CAJA FUERTE'!B6:D191,'CAJA FUERTE'!B11:B12,'CAJA FUERTE'!C6:C192)-SUMIF('CAJA FUERTE'!B6:D191,'CAJA FUERTE'!B11,'CAJA FUERTE'!D6:D192)</f>
        <v>-210000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343700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'!$D$9:$F$560,'RESUMEN MES'!C32,'EGRESOS '!$F$9:$F$560)</f>
        <v>2346187</v>
      </c>
      <c r="E32" s="62">
        <f ca="1">+IFERROR((D32*$E$31)/$E$13,"SIN DATOS")</f>
        <v>22.058024527583637</v>
      </c>
      <c r="I32" s="28"/>
      <c r="J32" s="58"/>
    </row>
    <row r="33" spans="3:10" s="3" customFormat="1" x14ac:dyDescent="0.25">
      <c r="C33" s="5" t="s">
        <v>124</v>
      </c>
      <c r="D33" s="116">
        <f ca="1">+SUMIF('EGRESOS '!$D$9:$F$560,'RESUMEN MES'!C33,'EGRESOS '!$F$9:$F$560)</f>
        <v>0</v>
      </c>
      <c r="E33" s="62">
        <f ca="1">+IFERROR((D33*$E$31)/$E$13,"SIN DATOS")</f>
        <v>0</v>
      </c>
      <c r="I33" s="28"/>
      <c r="J33" s="58"/>
    </row>
    <row r="34" spans="3:10" s="3" customFormat="1" x14ac:dyDescent="0.25">
      <c r="C34" s="5" t="s">
        <v>38</v>
      </c>
      <c r="D34" s="116">
        <f ca="1">+SUMIF('EGRESOS '!$D$9:$F$560,'RESUMEN MES'!C34,'EGRESOS '!$F$9:$F$560)</f>
        <v>0</v>
      </c>
      <c r="E34" s="62">
        <f t="shared" ref="E34:E47" ca="1" si="0">+IFERROR((D34*$E$31)/$E$13,"SIN DATOS")</f>
        <v>0</v>
      </c>
      <c r="F34" s="91"/>
      <c r="G34" s="28"/>
      <c r="H34" s="90"/>
      <c r="I34" s="28"/>
      <c r="J34" s="58"/>
    </row>
    <row r="35" spans="3:10" s="3" customFormat="1" x14ac:dyDescent="0.25">
      <c r="C35" s="5" t="s">
        <v>22</v>
      </c>
      <c r="D35" s="116">
        <f ca="1">+SUMIF('EGRESOS '!$D$9:$F$560,'RESUMEN MES'!C35,'EGRESOS '!$F$9:$F$560)</f>
        <v>1727700</v>
      </c>
      <c r="E35" s="62">
        <f t="shared" ca="1" si="0"/>
        <v>16.24322740527769</v>
      </c>
      <c r="F35" s="91"/>
      <c r="G35" s="28"/>
      <c r="H35" s="90"/>
      <c r="I35" s="28"/>
      <c r="J35" s="58"/>
    </row>
    <row r="36" spans="3:10" s="3" customFormat="1" x14ac:dyDescent="0.25">
      <c r="C36" s="5" t="s">
        <v>34</v>
      </c>
      <c r="D36" s="116">
        <f ca="1">+SUMIF('EGRESOS '!$D$9:$F$560,'RESUMEN MES'!C36,'EGRESOS '!$F$9:$F$560)</f>
        <v>190000</v>
      </c>
      <c r="E36" s="62">
        <f t="shared" ca="1" si="0"/>
        <v>1.7863131371203109</v>
      </c>
      <c r="F36" s="242"/>
      <c r="J36" s="58"/>
    </row>
    <row r="37" spans="3:10" s="3" customFormat="1" x14ac:dyDescent="0.25">
      <c r="C37" s="5" t="s">
        <v>15</v>
      </c>
      <c r="D37" s="116">
        <f ca="1">+SUMIF('EGRESOS '!$D$9:$F$560,'RESUMEN MES'!C37,'EGRESOS '!$F$9:$F$560)</f>
        <v>157500</v>
      </c>
      <c r="E37" s="62">
        <f t="shared" ca="1" si="0"/>
        <v>1.4807595741918367</v>
      </c>
      <c r="F37" s="242"/>
      <c r="J37" s="58"/>
    </row>
    <row r="38" spans="3:10" s="3" customFormat="1" x14ac:dyDescent="0.25">
      <c r="C38" s="5" t="s">
        <v>40</v>
      </c>
      <c r="D38" s="116">
        <f ca="1">+SUMIF('EGRESOS '!$D$9:$F$560,'RESUMEN MES'!C38,'EGRESOS '!$F$9:$F$560)</f>
        <v>502070</v>
      </c>
      <c r="E38" s="62">
        <f t="shared" ca="1" si="0"/>
        <v>4.7202854565999708</v>
      </c>
      <c r="F38" s="242"/>
      <c r="J38" s="58"/>
    </row>
    <row r="39" spans="3:10" s="3" customFormat="1" x14ac:dyDescent="0.25">
      <c r="C39" s="5" t="s">
        <v>19</v>
      </c>
      <c r="D39" s="116">
        <f ca="1">+SUMIF('EGRESOS '!$D$9:$F$560,'RESUMEN MES'!C39,'EGRESOS '!$F$9:$F$560)</f>
        <v>813488</v>
      </c>
      <c r="E39" s="62">
        <f t="shared" ca="1" si="0"/>
        <v>7.6481279015248811</v>
      </c>
      <c r="F39" s="242"/>
      <c r="J39" s="58"/>
    </row>
    <row r="40" spans="3:10" s="3" customFormat="1" x14ac:dyDescent="0.25">
      <c r="C40" s="5" t="s">
        <v>18</v>
      </c>
      <c r="D40" s="116">
        <f ca="1">+SUMIF('EGRESOS '!$D$9:$F$560,'RESUMEN MES'!C40,'EGRESOS '!$F$9:$F$560)</f>
        <v>109000</v>
      </c>
      <c r="E40" s="62">
        <f t="shared" ca="1" si="0"/>
        <v>1.0247796418216522</v>
      </c>
      <c r="F40" s="242"/>
      <c r="J40" s="58"/>
    </row>
    <row r="41" spans="3:10" s="3" customFormat="1" x14ac:dyDescent="0.25">
      <c r="C41" s="5" t="s">
        <v>138</v>
      </c>
      <c r="D41" s="116">
        <f ca="1">+SUMIF('EGRESOS '!$D$9:$F$560,'RESUMEN MES'!C41,'EGRESOS '!$F$9:$F$560)</f>
        <v>0</v>
      </c>
      <c r="E41" s="62">
        <f t="shared" ca="1" si="0"/>
        <v>0</v>
      </c>
      <c r="J41" s="58"/>
    </row>
    <row r="42" spans="3:10" s="3" customFormat="1" x14ac:dyDescent="0.25">
      <c r="C42" s="5" t="s">
        <v>23</v>
      </c>
      <c r="D42" s="116">
        <f ca="1">+SUMIF('EGRESOS '!$D$9:$F$560,'RESUMEN MES'!C42,'EGRESOS '!$F$9:$F$560)</f>
        <v>234004</v>
      </c>
      <c r="E42" s="62">
        <f t="shared" ca="1" si="0"/>
        <v>2.200023259677375</v>
      </c>
      <c r="G42" s="58"/>
      <c r="H42" s="58"/>
      <c r="J42" s="58"/>
    </row>
    <row r="43" spans="3:10" s="3" customFormat="1" x14ac:dyDescent="0.25">
      <c r="C43" s="5" t="s">
        <v>121</v>
      </c>
      <c r="D43" s="116">
        <f ca="1">+SUMIF('EGRESOS '!$D$9:$F$560,'RESUMEN MES'!C43,'EGRESOS '!$F$9:$F$560)</f>
        <v>0</v>
      </c>
      <c r="E43" s="62">
        <f t="shared" ca="1" si="0"/>
        <v>0</v>
      </c>
      <c r="H43" s="58"/>
      <c r="J43" s="58"/>
    </row>
    <row r="44" spans="3:10" x14ac:dyDescent="0.25">
      <c r="C44" s="5" t="s">
        <v>20</v>
      </c>
      <c r="D44" s="116">
        <f ca="1">+SUMIF('EGRESOS '!$D$9:$F$560,'RESUMEN MES'!C44,'EGRESOS '!$F$9:$F$560)</f>
        <v>65399</v>
      </c>
      <c r="E44" s="62">
        <f t="shared" ca="1" si="0"/>
        <v>0.61485838344490107</v>
      </c>
      <c r="G44" s="3" t="s">
        <v>164</v>
      </c>
    </row>
    <row r="45" spans="3:10" x14ac:dyDescent="0.25">
      <c r="C45" s="5" t="s">
        <v>139</v>
      </c>
      <c r="D45" s="116">
        <f ca="1">+SUMIF('EGRESOS '!$D$9:$F$560,'RESUMEN MES'!C45,'EGRESOS '!$F$9:$F$560)</f>
        <v>50000</v>
      </c>
      <c r="E45" s="62">
        <f t="shared" ca="1" si="0"/>
        <v>0.470082404505345</v>
      </c>
    </row>
    <row r="46" spans="3:10" x14ac:dyDescent="0.25">
      <c r="C46" s="5" t="s">
        <v>39</v>
      </c>
      <c r="D46" s="116">
        <f ca="1">+SUMIF('EGRESOS '!$D$9:$F$560,'RESUMEN MES'!C46,'EGRESOS '!$F$9:$F$560)</f>
        <v>2400</v>
      </c>
      <c r="E46" s="62">
        <f t="shared" ca="1" si="0"/>
        <v>2.2563955416256561E-2</v>
      </c>
    </row>
    <row r="47" spans="3:10" x14ac:dyDescent="0.25">
      <c r="C47" s="5" t="s">
        <v>119</v>
      </c>
      <c r="D47" s="116">
        <f ca="1">+SUMIF('EGRESOS '!$D$9:$F$560,'RESUMEN MES'!C47,'EGRESOS '!$F$9:$F$560)</f>
        <v>497294</v>
      </c>
      <c r="E47" s="62">
        <f t="shared" ca="1" si="0"/>
        <v>4.6753831853216203</v>
      </c>
    </row>
  </sheetData>
  <sheetProtection algorithmName="SHA-512" hashValue="FxOUvulidmgNEwV42Zwt7PLisBV6p9FfNuoanWLgVmocGtQUNPM25uUGDPiXHsgxVMUAnkMS39CW4TwehdbxhA==" saltValue="1d9nqRf6jku5WBEvxT6YOQ==" spinCount="100000" sheet="1"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35" t="s">
        <v>0</v>
      </c>
      <c r="D2" s="236"/>
      <c r="E2" s="236"/>
      <c r="F2" s="237"/>
      <c r="R2" s="103">
        <v>100000</v>
      </c>
    </row>
    <row r="3" spans="1:31" ht="18.75" x14ac:dyDescent="0.3">
      <c r="C3" s="235" t="s">
        <v>48</v>
      </c>
      <c r="D3" s="236"/>
      <c r="E3" s="236"/>
      <c r="F3" s="237"/>
      <c r="R3" s="103">
        <v>300000</v>
      </c>
    </row>
    <row r="4" spans="1:31" ht="18.75" x14ac:dyDescent="0.3">
      <c r="C4" s="235" t="s">
        <v>74</v>
      </c>
      <c r="D4" s="236"/>
      <c r="E4" s="236"/>
      <c r="F4" s="237"/>
      <c r="R4" s="103">
        <v>400000</v>
      </c>
    </row>
    <row r="5" spans="1:31" ht="18.75" x14ac:dyDescent="0.3">
      <c r="C5" s="235"/>
      <c r="D5" s="236"/>
      <c r="E5" s="236"/>
      <c r="F5" s="237"/>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719500</v>
      </c>
      <c r="E8" s="62">
        <f>+VENTAS!G12</f>
        <v>935610</v>
      </c>
      <c r="F8" s="62">
        <f>+D8-E8</f>
        <v>-216110</v>
      </c>
      <c r="R8" s="103">
        <v>800000</v>
      </c>
    </row>
    <row r="9" spans="1:31" x14ac:dyDescent="0.25">
      <c r="C9" s="61">
        <v>2</v>
      </c>
      <c r="D9" s="62">
        <f>+VENTAS!E15</f>
        <v>699500</v>
      </c>
      <c r="E9" s="62">
        <f>+VENTAS!G15</f>
        <v>1920576</v>
      </c>
      <c r="F9" s="62">
        <f>+F8+D9-E9</f>
        <v>-1437186</v>
      </c>
      <c r="R9" s="103">
        <v>900000</v>
      </c>
    </row>
    <row r="10" spans="1:31" x14ac:dyDescent="0.25">
      <c r="C10" s="61">
        <v>3</v>
      </c>
      <c r="D10" s="62">
        <f>+VENTAS!E18</f>
        <v>948500</v>
      </c>
      <c r="E10" s="62">
        <f>+VENTAS!G18</f>
        <v>371169</v>
      </c>
      <c r="F10" s="62">
        <f>+F9+D10-E10</f>
        <v>-859855</v>
      </c>
      <c r="R10" s="103">
        <v>1000000</v>
      </c>
    </row>
    <row r="11" spans="1:31" x14ac:dyDescent="0.25">
      <c r="C11" s="61">
        <v>4</v>
      </c>
      <c r="D11" s="62">
        <f>+VENTAS!E21</f>
        <v>696000</v>
      </c>
      <c r="E11" s="62">
        <f>+VENTAS!G21</f>
        <v>249290</v>
      </c>
      <c r="F11" s="62">
        <f t="shared" ref="F11:F37" si="0">+F10+D11-E11</f>
        <v>-413145</v>
      </c>
      <c r="R11" s="103">
        <v>1100000</v>
      </c>
    </row>
    <row r="12" spans="1:31" x14ac:dyDescent="0.25">
      <c r="C12" s="61">
        <v>5</v>
      </c>
      <c r="D12" s="62">
        <f>+VENTAS!E24</f>
        <v>590500</v>
      </c>
      <c r="E12" s="62">
        <f>+VENTAS!G24</f>
        <v>1057746</v>
      </c>
      <c r="F12" s="62">
        <f t="shared" si="0"/>
        <v>-880391</v>
      </c>
      <c r="R12" s="103">
        <v>1200000</v>
      </c>
    </row>
    <row r="13" spans="1:31" x14ac:dyDescent="0.25">
      <c r="C13" s="61">
        <v>6</v>
      </c>
      <c r="D13" s="62">
        <f>+VENTAS!E27</f>
        <v>689000</v>
      </c>
      <c r="E13" s="62">
        <f>+VENTAS!G27</f>
        <v>393632</v>
      </c>
      <c r="F13" s="62">
        <f t="shared" si="0"/>
        <v>-585023</v>
      </c>
      <c r="R13" s="103">
        <v>1300000</v>
      </c>
    </row>
    <row r="14" spans="1:31" x14ac:dyDescent="0.25">
      <c r="C14" s="61">
        <v>7</v>
      </c>
      <c r="D14" s="62">
        <f>+VENTAS!E30</f>
        <v>1018500</v>
      </c>
      <c r="E14" s="62">
        <f>+VENTAS!G30</f>
        <v>540669</v>
      </c>
      <c r="F14" s="62">
        <f t="shared" si="0"/>
        <v>-107192</v>
      </c>
      <c r="R14" s="103">
        <v>1400000</v>
      </c>
    </row>
    <row r="15" spans="1:31" x14ac:dyDescent="0.25">
      <c r="C15" s="61">
        <v>8</v>
      </c>
      <c r="D15" s="62">
        <f>+VENTAS!E33</f>
        <v>582500</v>
      </c>
      <c r="E15" s="62">
        <f>+VENTAS!G33</f>
        <v>317140</v>
      </c>
      <c r="F15" s="62">
        <f t="shared" si="0"/>
        <v>158168</v>
      </c>
      <c r="R15" s="104">
        <v>1500000</v>
      </c>
    </row>
    <row r="16" spans="1:31" x14ac:dyDescent="0.25">
      <c r="C16" s="61">
        <v>9</v>
      </c>
      <c r="D16" s="62">
        <f>+VENTAS!E36</f>
        <v>613000</v>
      </c>
      <c r="E16" s="62">
        <f>+VENTAS!G36</f>
        <v>635754</v>
      </c>
      <c r="F16" s="62">
        <f t="shared" si="0"/>
        <v>135414</v>
      </c>
      <c r="R16" s="105">
        <v>0</v>
      </c>
    </row>
    <row r="17" spans="3:6" x14ac:dyDescent="0.25">
      <c r="C17" s="61">
        <v>10</v>
      </c>
      <c r="D17" s="62">
        <f>+VENTAS!E39</f>
        <v>894500</v>
      </c>
      <c r="E17" s="62">
        <f>+VENTAS!G39</f>
        <v>323174</v>
      </c>
      <c r="F17" s="62">
        <f t="shared" si="0"/>
        <v>706740</v>
      </c>
    </row>
    <row r="18" spans="3:6" x14ac:dyDescent="0.25">
      <c r="C18" s="61">
        <v>11</v>
      </c>
      <c r="D18" s="62">
        <f>+VENTAS!E42</f>
        <v>545000</v>
      </c>
      <c r="E18" s="62">
        <f>+VENTAS!G42</f>
        <v>349930</v>
      </c>
      <c r="F18" s="62">
        <f t="shared" si="0"/>
        <v>901810</v>
      </c>
    </row>
    <row r="19" spans="3:6" x14ac:dyDescent="0.25">
      <c r="C19" s="61">
        <v>12</v>
      </c>
      <c r="D19" s="62">
        <f>+VENTAS!E45</f>
        <v>678400</v>
      </c>
      <c r="E19" s="62">
        <f>+VENTAS!G45</f>
        <v>1098013</v>
      </c>
      <c r="F19" s="62">
        <f t="shared" si="0"/>
        <v>482197</v>
      </c>
    </row>
    <row r="20" spans="3:6" x14ac:dyDescent="0.25">
      <c r="C20" s="61">
        <v>13</v>
      </c>
      <c r="D20" s="62">
        <f>+VENTAS!E48</f>
        <v>672000</v>
      </c>
      <c r="E20" s="62">
        <f>+VENTAS!G48</f>
        <v>359841</v>
      </c>
      <c r="F20" s="62">
        <f t="shared" si="0"/>
        <v>794356</v>
      </c>
    </row>
    <row r="21" spans="3:6" x14ac:dyDescent="0.25">
      <c r="C21" s="61">
        <v>14</v>
      </c>
      <c r="D21" s="62">
        <f>+VENTAS!E51</f>
        <v>840500</v>
      </c>
      <c r="E21" s="62">
        <f>+VENTAS!G51</f>
        <v>453200</v>
      </c>
      <c r="F21" s="62">
        <f t="shared" si="0"/>
        <v>1181656</v>
      </c>
    </row>
    <row r="22" spans="3:6" x14ac:dyDescent="0.25">
      <c r="C22" s="61">
        <v>15</v>
      </c>
      <c r="D22" s="62">
        <f>+VENTAS!E54</f>
        <v>1080500</v>
      </c>
      <c r="E22" s="62">
        <f>+VENTAS!G54</f>
        <v>623010</v>
      </c>
      <c r="F22" s="62">
        <f t="shared" si="0"/>
        <v>1639146</v>
      </c>
    </row>
    <row r="23" spans="3:6" x14ac:dyDescent="0.25">
      <c r="C23" s="61">
        <v>16</v>
      </c>
      <c r="D23" s="62">
        <f>+VENTAS!E57</f>
        <v>1033500</v>
      </c>
      <c r="E23" s="62">
        <f>+VENTAS!G57</f>
        <v>879733</v>
      </c>
      <c r="F23" s="62">
        <f t="shared" si="0"/>
        <v>1792913</v>
      </c>
    </row>
    <row r="24" spans="3:6" x14ac:dyDescent="0.25">
      <c r="C24" s="61">
        <v>17</v>
      </c>
      <c r="D24" s="62">
        <f>+VENTAS!E60</f>
        <v>624500</v>
      </c>
      <c r="E24" s="62">
        <f>+VENTAS!G60</f>
        <v>447629</v>
      </c>
      <c r="F24" s="62">
        <f t="shared" si="0"/>
        <v>1969784</v>
      </c>
    </row>
    <row r="25" spans="3:6" x14ac:dyDescent="0.25">
      <c r="C25" s="61">
        <v>18</v>
      </c>
      <c r="D25" s="62">
        <f>+VENTAS!E63</f>
        <v>743000</v>
      </c>
      <c r="E25" s="62">
        <f>+VENTAS!G63</f>
        <v>354550</v>
      </c>
      <c r="F25" s="62">
        <f t="shared" si="0"/>
        <v>2358234</v>
      </c>
    </row>
    <row r="26" spans="3:6" x14ac:dyDescent="0.25">
      <c r="C26" s="61">
        <v>19</v>
      </c>
      <c r="D26" s="62">
        <f>+VENTAS!E66</f>
        <v>720400</v>
      </c>
      <c r="E26" s="62">
        <f>+VENTAS!G66</f>
        <v>953572</v>
      </c>
      <c r="F26" s="62">
        <f t="shared" si="0"/>
        <v>2125062</v>
      </c>
    </row>
    <row r="27" spans="3:6" x14ac:dyDescent="0.25">
      <c r="C27" s="61">
        <v>20</v>
      </c>
      <c r="D27" s="62">
        <f>+VENTAS!E69</f>
        <v>1136000</v>
      </c>
      <c r="E27" s="62">
        <f>+VENTAS!G69</f>
        <v>430778</v>
      </c>
      <c r="F27" s="62">
        <f t="shared" si="0"/>
        <v>2830284</v>
      </c>
    </row>
    <row r="28" spans="3:6" x14ac:dyDescent="0.25">
      <c r="C28" s="61">
        <v>21</v>
      </c>
      <c r="D28" s="62">
        <f>+VENTAS!E72</f>
        <v>1520900</v>
      </c>
      <c r="E28" s="62">
        <f>+VENTAS!G72</f>
        <v>626260</v>
      </c>
      <c r="F28" s="62">
        <f t="shared" si="0"/>
        <v>3724924</v>
      </c>
    </row>
    <row r="29" spans="3:6" x14ac:dyDescent="0.25">
      <c r="C29" s="61">
        <v>22</v>
      </c>
      <c r="D29" s="62">
        <f>+VENTAS!E75</f>
        <v>597700</v>
      </c>
      <c r="E29" s="62">
        <f>+VENTAS!G75</f>
        <v>448445</v>
      </c>
      <c r="F29" s="62">
        <f t="shared" si="0"/>
        <v>3874179</v>
      </c>
    </row>
    <row r="30" spans="3:6" x14ac:dyDescent="0.25">
      <c r="C30" s="61">
        <v>23</v>
      </c>
      <c r="D30" s="62">
        <f>+VENTAS!E78</f>
        <v>646500</v>
      </c>
      <c r="E30" s="62">
        <f>+VENTAS!G78</f>
        <v>881013</v>
      </c>
      <c r="F30" s="62">
        <f t="shared" si="0"/>
        <v>3639666</v>
      </c>
    </row>
    <row r="31" spans="3:6" x14ac:dyDescent="0.25">
      <c r="C31" s="61">
        <v>24</v>
      </c>
      <c r="D31" s="62">
        <f>+VENTAS!E81</f>
        <v>669000</v>
      </c>
      <c r="E31" s="62">
        <f>+VENTAS!G81</f>
        <v>1139864</v>
      </c>
      <c r="F31" s="62">
        <f t="shared" si="0"/>
        <v>3168802</v>
      </c>
    </row>
    <row r="32" spans="3:6" x14ac:dyDescent="0.25">
      <c r="C32" s="61">
        <v>25</v>
      </c>
      <c r="D32" s="62">
        <f>+VENTAS!E84</f>
        <v>645500</v>
      </c>
      <c r="E32" s="62">
        <f>+VENTAS!G84</f>
        <v>608689</v>
      </c>
      <c r="F32" s="62">
        <f t="shared" si="0"/>
        <v>3205613</v>
      </c>
    </row>
    <row r="33" spans="1:31" x14ac:dyDescent="0.25">
      <c r="C33" s="61">
        <v>26</v>
      </c>
      <c r="D33" s="62">
        <f>+VENTAS!E87</f>
        <v>852500</v>
      </c>
      <c r="E33" s="62">
        <f>+VENTAS!G87</f>
        <v>497485</v>
      </c>
      <c r="F33" s="62">
        <f t="shared" si="0"/>
        <v>3560628</v>
      </c>
    </row>
    <row r="34" spans="1:31" x14ac:dyDescent="0.25">
      <c r="C34" s="61">
        <v>27</v>
      </c>
      <c r="D34" s="62">
        <f>+VENTAS!E90</f>
        <v>412000</v>
      </c>
      <c r="E34" s="62">
        <f>+VENTAS!G90</f>
        <v>447820</v>
      </c>
      <c r="F34" s="62">
        <f t="shared" si="0"/>
        <v>3524808</v>
      </c>
    </row>
    <row r="35" spans="1:31" x14ac:dyDescent="0.25">
      <c r="C35" s="61">
        <v>28</v>
      </c>
      <c r="D35" s="62">
        <f>+VENTAS!E93</f>
        <v>1013000</v>
      </c>
      <c r="E35" s="62">
        <f>+VENTAS!G93</f>
        <v>373870</v>
      </c>
      <c r="F35" s="62">
        <f t="shared" si="0"/>
        <v>4163938</v>
      </c>
    </row>
    <row r="36" spans="1:31" x14ac:dyDescent="0.25">
      <c r="C36" s="61">
        <v>29</v>
      </c>
      <c r="D36" s="62">
        <f>+VENTAS!E96</f>
        <v>801000</v>
      </c>
      <c r="E36" s="62">
        <f>+VENTAS!G96</f>
        <v>456360</v>
      </c>
      <c r="F36" s="62">
        <f t="shared" si="0"/>
        <v>4508578</v>
      </c>
    </row>
    <row r="37" spans="1:31" x14ac:dyDescent="0.25">
      <c r="C37" s="61">
        <v>30</v>
      </c>
      <c r="D37" s="62">
        <f>+VENTAS!E99</f>
        <v>713000</v>
      </c>
      <c r="E37" s="62">
        <f>+VENTAS!G99</f>
        <v>538020</v>
      </c>
      <c r="F37" s="62">
        <f t="shared" si="0"/>
        <v>4683558</v>
      </c>
    </row>
    <row r="38" spans="1:31" x14ac:dyDescent="0.25">
      <c r="C38" s="61">
        <v>31</v>
      </c>
      <c r="D38" s="62">
        <f>+VENTAS!E102</f>
        <v>0</v>
      </c>
      <c r="E38" s="62">
        <f>+VENTAS!G102</f>
        <v>0</v>
      </c>
      <c r="F38" s="62">
        <f>+F37+D38-E38</f>
        <v>4683558</v>
      </c>
    </row>
    <row r="39" spans="1:31" s="59" customFormat="1" x14ac:dyDescent="0.25">
      <c r="A39" s="58"/>
      <c r="B39" s="58"/>
      <c r="C39" s="25" t="s">
        <v>58</v>
      </c>
      <c r="D39" s="79">
        <f>SUM(D8:D38)</f>
        <v>23396400</v>
      </c>
      <c r="E39" s="79">
        <f>SUM(E8:E38)</f>
        <v>18712842</v>
      </c>
      <c r="F39" s="79">
        <f>+F37+D38-E38</f>
        <v>4683558</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220" zoomScaleNormal="100" workbookViewId="0">
      <selection activeCell="D302" sqref="D302"/>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8">
        <v>1</v>
      </c>
      <c r="B3" s="121"/>
      <c r="C3" s="122"/>
      <c r="D3" s="70"/>
      <c r="H3" s="119" t="s">
        <v>152</v>
      </c>
    </row>
    <row r="4" spans="1:8" x14ac:dyDescent="0.25">
      <c r="A4" s="258"/>
      <c r="B4" s="121"/>
      <c r="C4" s="122"/>
      <c r="D4" s="70"/>
      <c r="H4" s="119" t="s">
        <v>153</v>
      </c>
    </row>
    <row r="5" spans="1:8" x14ac:dyDescent="0.25">
      <c r="A5" s="258"/>
      <c r="B5" s="121"/>
      <c r="C5" s="122"/>
      <c r="D5" s="70"/>
      <c r="H5" s="119" t="s">
        <v>57</v>
      </c>
    </row>
    <row r="6" spans="1:8" x14ac:dyDescent="0.25">
      <c r="A6" s="258"/>
      <c r="B6" s="121"/>
      <c r="C6" s="122"/>
      <c r="D6" s="70"/>
    </row>
    <row r="7" spans="1:8" x14ac:dyDescent="0.25">
      <c r="A7" s="258"/>
      <c r="B7" s="121"/>
      <c r="C7" s="122"/>
      <c r="D7" s="70"/>
    </row>
    <row r="8" spans="1:8" x14ac:dyDescent="0.25">
      <c r="A8" s="258"/>
      <c r="B8" s="121"/>
      <c r="C8" s="122"/>
      <c r="D8" s="70"/>
    </row>
    <row r="9" spans="1:8" x14ac:dyDescent="0.25">
      <c r="A9" s="258"/>
      <c r="B9" s="121"/>
      <c r="C9" s="122"/>
      <c r="D9" s="70"/>
    </row>
    <row r="10" spans="1:8" x14ac:dyDescent="0.25">
      <c r="A10" s="258"/>
      <c r="B10" s="121"/>
      <c r="C10" s="122"/>
      <c r="D10" s="70"/>
    </row>
    <row r="11" spans="1:8" x14ac:dyDescent="0.25">
      <c r="A11" s="258"/>
      <c r="B11" s="121"/>
      <c r="C11" s="122"/>
      <c r="D11" s="70"/>
    </row>
    <row r="12" spans="1:8" x14ac:dyDescent="0.25">
      <c r="A12" s="258"/>
      <c r="B12" s="121"/>
      <c r="C12" s="122"/>
      <c r="D12" s="70"/>
    </row>
    <row r="13" spans="1:8" x14ac:dyDescent="0.25">
      <c r="A13" s="258"/>
      <c r="B13" s="121"/>
      <c r="C13" s="122"/>
      <c r="D13" s="70"/>
    </row>
    <row r="14" spans="1:8" x14ac:dyDescent="0.25">
      <c r="A14" s="124" t="s">
        <v>58</v>
      </c>
      <c r="B14" s="123"/>
      <c r="C14" s="123"/>
      <c r="D14" s="70">
        <f>SUM(D3:D13)</f>
        <v>0</v>
      </c>
      <c r="E14" s="118"/>
    </row>
    <row r="15" spans="1:8" x14ac:dyDescent="0.25">
      <c r="A15" s="120" t="s">
        <v>3</v>
      </c>
      <c r="B15" s="120" t="s">
        <v>150</v>
      </c>
      <c r="C15" s="120" t="s">
        <v>151</v>
      </c>
      <c r="D15" s="120" t="s">
        <v>165</v>
      </c>
    </row>
    <row r="16" spans="1:8" x14ac:dyDescent="0.25">
      <c r="A16" s="258">
        <v>2</v>
      </c>
      <c r="B16" s="121"/>
      <c r="C16" s="122"/>
      <c r="D16" s="70"/>
    </row>
    <row r="17" spans="1:4" x14ac:dyDescent="0.25">
      <c r="A17" s="258"/>
      <c r="B17" s="121"/>
      <c r="C17" s="122"/>
      <c r="D17" s="70"/>
    </row>
    <row r="18" spans="1:4" x14ac:dyDescent="0.25">
      <c r="A18" s="258"/>
      <c r="B18" s="121"/>
      <c r="C18" s="122"/>
      <c r="D18" s="70"/>
    </row>
    <row r="19" spans="1:4" x14ac:dyDescent="0.25">
      <c r="A19" s="258"/>
      <c r="B19" s="121"/>
      <c r="C19" s="122"/>
      <c r="D19" s="70"/>
    </row>
    <row r="20" spans="1:4" x14ac:dyDescent="0.25">
      <c r="A20" s="258"/>
      <c r="B20" s="121"/>
      <c r="C20" s="122"/>
      <c r="D20" s="70"/>
    </row>
    <row r="21" spans="1:4" x14ac:dyDescent="0.25">
      <c r="A21" s="258"/>
      <c r="B21" s="121"/>
      <c r="C21" s="122"/>
      <c r="D21" s="70"/>
    </row>
    <row r="22" spans="1:4" x14ac:dyDescent="0.25">
      <c r="A22" s="258"/>
      <c r="B22" s="121"/>
      <c r="C22" s="122"/>
      <c r="D22" s="70"/>
    </row>
    <row r="23" spans="1:4" x14ac:dyDescent="0.25">
      <c r="A23" s="258"/>
      <c r="B23" s="121"/>
      <c r="C23" s="122"/>
      <c r="D23" s="70"/>
    </row>
    <row r="24" spans="1:4" x14ac:dyDescent="0.25">
      <c r="A24" s="258"/>
      <c r="B24" s="121"/>
      <c r="C24" s="122"/>
      <c r="D24" s="70"/>
    </row>
    <row r="25" spans="1:4" x14ac:dyDescent="0.25">
      <c r="A25" s="258"/>
      <c r="B25" s="121"/>
      <c r="C25" s="122"/>
      <c r="D25" s="70"/>
    </row>
    <row r="26" spans="1:4" x14ac:dyDescent="0.25">
      <c r="A26" s="258"/>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8">
        <v>3</v>
      </c>
      <c r="B29" s="121"/>
      <c r="C29" s="122"/>
      <c r="D29" s="70"/>
    </row>
    <row r="30" spans="1:4" x14ac:dyDescent="0.25">
      <c r="A30" s="258"/>
      <c r="B30" s="121"/>
      <c r="C30" s="122"/>
      <c r="D30" s="70"/>
    </row>
    <row r="31" spans="1:4" x14ac:dyDescent="0.25">
      <c r="A31" s="258"/>
      <c r="B31" s="121"/>
      <c r="C31" s="122"/>
      <c r="D31" s="70"/>
    </row>
    <row r="32" spans="1:4" x14ac:dyDescent="0.25">
      <c r="A32" s="258"/>
      <c r="B32" s="121"/>
      <c r="C32" s="122"/>
      <c r="D32" s="70"/>
    </row>
    <row r="33" spans="1:4" x14ac:dyDescent="0.25">
      <c r="A33" s="258"/>
      <c r="B33" s="121"/>
      <c r="C33" s="122"/>
      <c r="D33" s="70"/>
    </row>
    <row r="34" spans="1:4" x14ac:dyDescent="0.25">
      <c r="A34" s="258"/>
      <c r="B34" s="121"/>
      <c r="C34" s="122"/>
      <c r="D34" s="70"/>
    </row>
    <row r="35" spans="1:4" x14ac:dyDescent="0.25">
      <c r="A35" s="258"/>
      <c r="B35" s="121"/>
      <c r="C35" s="122"/>
      <c r="D35" s="70"/>
    </row>
    <row r="36" spans="1:4" x14ac:dyDescent="0.25">
      <c r="A36" s="258"/>
      <c r="B36" s="121"/>
      <c r="C36" s="122"/>
      <c r="D36" s="70"/>
    </row>
    <row r="37" spans="1:4" x14ac:dyDescent="0.25">
      <c r="A37" s="258"/>
      <c r="B37" s="121"/>
      <c r="C37" s="122"/>
      <c r="D37" s="70"/>
    </row>
    <row r="38" spans="1:4" x14ac:dyDescent="0.25">
      <c r="A38" s="258"/>
      <c r="B38" s="121"/>
      <c r="C38" s="122"/>
      <c r="D38" s="70"/>
    </row>
    <row r="39" spans="1:4" x14ac:dyDescent="0.25">
      <c r="A39" s="258"/>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8">
        <v>4</v>
      </c>
      <c r="B42" s="121"/>
      <c r="C42" s="122"/>
      <c r="D42" s="70"/>
    </row>
    <row r="43" spans="1:4" x14ac:dyDescent="0.25">
      <c r="A43" s="258"/>
      <c r="B43" s="121"/>
      <c r="C43" s="122"/>
      <c r="D43" s="70"/>
    </row>
    <row r="44" spans="1:4" x14ac:dyDescent="0.25">
      <c r="A44" s="258"/>
      <c r="B44" s="121"/>
      <c r="C44" s="122"/>
      <c r="D44" s="70"/>
    </row>
    <row r="45" spans="1:4" x14ac:dyDescent="0.25">
      <c r="A45" s="258"/>
      <c r="B45" s="121"/>
      <c r="C45" s="122"/>
      <c r="D45" s="70"/>
    </row>
    <row r="46" spans="1:4" x14ac:dyDescent="0.25">
      <c r="A46" s="258"/>
      <c r="B46" s="121"/>
      <c r="C46" s="122"/>
      <c r="D46" s="70"/>
    </row>
    <row r="47" spans="1:4" x14ac:dyDescent="0.25">
      <c r="A47" s="258"/>
      <c r="B47" s="121"/>
      <c r="C47" s="122"/>
      <c r="D47" s="70"/>
    </row>
    <row r="48" spans="1:4" x14ac:dyDescent="0.25">
      <c r="A48" s="258"/>
      <c r="B48" s="121"/>
      <c r="C48" s="122"/>
      <c r="D48" s="70"/>
    </row>
    <row r="49" spans="1:4" x14ac:dyDescent="0.25">
      <c r="A49" s="258"/>
      <c r="B49" s="121"/>
      <c r="C49" s="122"/>
      <c r="D49" s="70"/>
    </row>
    <row r="50" spans="1:4" x14ac:dyDescent="0.25">
      <c r="A50" s="258"/>
      <c r="B50" s="121"/>
      <c r="C50" s="122"/>
      <c r="D50" s="70"/>
    </row>
    <row r="51" spans="1:4" x14ac:dyDescent="0.25">
      <c r="A51" s="258"/>
      <c r="B51" s="121"/>
      <c r="C51" s="122"/>
      <c r="D51" s="70"/>
    </row>
    <row r="52" spans="1:4" x14ac:dyDescent="0.25">
      <c r="A52" s="258"/>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58">
        <v>5</v>
      </c>
      <c r="B55" s="121"/>
      <c r="C55" s="122"/>
      <c r="D55" s="70"/>
    </row>
    <row r="56" spans="1:4" x14ac:dyDescent="0.25">
      <c r="A56" s="258"/>
      <c r="B56" s="121"/>
      <c r="C56" s="122"/>
      <c r="D56" s="70"/>
    </row>
    <row r="57" spans="1:4" x14ac:dyDescent="0.25">
      <c r="A57" s="258"/>
      <c r="B57" s="121"/>
      <c r="C57" s="122"/>
      <c r="D57" s="70"/>
    </row>
    <row r="58" spans="1:4" x14ac:dyDescent="0.25">
      <c r="A58" s="258"/>
      <c r="B58" s="121"/>
      <c r="C58" s="122"/>
      <c r="D58" s="70"/>
    </row>
    <row r="59" spans="1:4" x14ac:dyDescent="0.25">
      <c r="A59" s="258"/>
      <c r="B59" s="121"/>
      <c r="C59" s="122"/>
      <c r="D59" s="70"/>
    </row>
    <row r="60" spans="1:4" x14ac:dyDescent="0.25">
      <c r="A60" s="258"/>
      <c r="B60" s="121"/>
      <c r="C60" s="122"/>
      <c r="D60" s="70"/>
    </row>
    <row r="61" spans="1:4" x14ac:dyDescent="0.25">
      <c r="A61" s="258"/>
      <c r="B61" s="121"/>
      <c r="C61" s="122"/>
      <c r="D61" s="70"/>
    </row>
    <row r="62" spans="1:4" x14ac:dyDescent="0.25">
      <c r="A62" s="258"/>
      <c r="B62" s="121"/>
      <c r="C62" s="122"/>
      <c r="D62" s="70"/>
    </row>
    <row r="63" spans="1:4" x14ac:dyDescent="0.25">
      <c r="A63" s="258"/>
      <c r="B63" s="121"/>
      <c r="C63" s="122"/>
      <c r="D63" s="70"/>
    </row>
    <row r="64" spans="1:4" x14ac:dyDescent="0.25">
      <c r="A64" s="258"/>
      <c r="B64" s="121"/>
      <c r="C64" s="122"/>
      <c r="D64" s="70"/>
    </row>
    <row r="65" spans="1:4" x14ac:dyDescent="0.25">
      <c r="A65" s="258"/>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58">
        <v>6</v>
      </c>
      <c r="B68" s="121"/>
      <c r="C68" s="122"/>
      <c r="D68" s="70"/>
    </row>
    <row r="69" spans="1:4" x14ac:dyDescent="0.25">
      <c r="A69" s="258"/>
      <c r="B69" s="121"/>
      <c r="C69" s="122"/>
      <c r="D69" s="70"/>
    </row>
    <row r="70" spans="1:4" x14ac:dyDescent="0.25">
      <c r="A70" s="258"/>
      <c r="B70" s="121"/>
      <c r="C70" s="122"/>
      <c r="D70" s="70"/>
    </row>
    <row r="71" spans="1:4" x14ac:dyDescent="0.25">
      <c r="A71" s="258"/>
      <c r="B71" s="121"/>
      <c r="C71" s="122"/>
      <c r="D71" s="70"/>
    </row>
    <row r="72" spans="1:4" x14ac:dyDescent="0.25">
      <c r="A72" s="258"/>
      <c r="B72" s="121"/>
      <c r="C72" s="122"/>
      <c r="D72" s="70"/>
    </row>
    <row r="73" spans="1:4" x14ac:dyDescent="0.25">
      <c r="A73" s="258"/>
      <c r="B73" s="121"/>
      <c r="C73" s="122"/>
      <c r="D73" s="70"/>
    </row>
    <row r="74" spans="1:4" x14ac:dyDescent="0.25">
      <c r="A74" s="258"/>
      <c r="B74" s="121"/>
      <c r="C74" s="122"/>
      <c r="D74" s="70"/>
    </row>
    <row r="75" spans="1:4" x14ac:dyDescent="0.25">
      <c r="A75" s="258"/>
      <c r="B75" s="121"/>
      <c r="C75" s="122"/>
      <c r="D75" s="70"/>
    </row>
    <row r="76" spans="1:4" x14ac:dyDescent="0.25">
      <c r="A76" s="258"/>
      <c r="B76" s="121"/>
      <c r="C76" s="122"/>
      <c r="D76" s="70"/>
    </row>
    <row r="77" spans="1:4" x14ac:dyDescent="0.25">
      <c r="A77" s="258"/>
      <c r="B77" s="121"/>
      <c r="C77" s="122"/>
      <c r="D77" s="70"/>
    </row>
    <row r="78" spans="1:4" x14ac:dyDescent="0.25">
      <c r="A78" s="258"/>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8">
        <v>7</v>
      </c>
      <c r="B81" s="121" t="s">
        <v>182</v>
      </c>
      <c r="C81" s="122" t="s">
        <v>152</v>
      </c>
      <c r="D81" s="70">
        <v>7000</v>
      </c>
    </row>
    <row r="82" spans="1:4" x14ac:dyDescent="0.25">
      <c r="A82" s="258"/>
      <c r="B82" s="121"/>
      <c r="C82" s="122"/>
      <c r="D82" s="70"/>
    </row>
    <row r="83" spans="1:4" x14ac:dyDescent="0.25">
      <c r="A83" s="258"/>
      <c r="B83" s="121"/>
      <c r="C83" s="122"/>
      <c r="D83" s="70"/>
    </row>
    <row r="84" spans="1:4" x14ac:dyDescent="0.25">
      <c r="A84" s="258"/>
      <c r="B84" s="121"/>
      <c r="C84" s="122"/>
      <c r="D84" s="70"/>
    </row>
    <row r="85" spans="1:4" x14ac:dyDescent="0.25">
      <c r="A85" s="258"/>
      <c r="B85" s="121"/>
      <c r="C85" s="122"/>
      <c r="D85" s="70"/>
    </row>
    <row r="86" spans="1:4" x14ac:dyDescent="0.25">
      <c r="A86" s="258"/>
      <c r="B86" s="121"/>
      <c r="C86" s="122"/>
      <c r="D86" s="70"/>
    </row>
    <row r="87" spans="1:4" x14ac:dyDescent="0.25">
      <c r="A87" s="258"/>
      <c r="B87" s="121"/>
      <c r="C87" s="122"/>
      <c r="D87" s="70"/>
    </row>
    <row r="88" spans="1:4" x14ac:dyDescent="0.25">
      <c r="A88" s="258"/>
      <c r="B88" s="121"/>
      <c r="C88" s="122"/>
      <c r="D88" s="70"/>
    </row>
    <row r="89" spans="1:4" x14ac:dyDescent="0.25">
      <c r="A89" s="258"/>
      <c r="B89" s="121"/>
      <c r="C89" s="122"/>
      <c r="D89" s="70"/>
    </row>
    <row r="90" spans="1:4" x14ac:dyDescent="0.25">
      <c r="A90" s="258"/>
      <c r="B90" s="121"/>
      <c r="C90" s="122"/>
      <c r="D90" s="70"/>
    </row>
    <row r="91" spans="1:4" x14ac:dyDescent="0.25">
      <c r="A91" s="258"/>
      <c r="B91" s="121"/>
      <c r="C91" s="122"/>
      <c r="D91" s="70"/>
    </row>
    <row r="92" spans="1:4" x14ac:dyDescent="0.25">
      <c r="A92" s="124" t="s">
        <v>58</v>
      </c>
      <c r="B92" s="123"/>
      <c r="C92" s="123"/>
      <c r="D92" s="70">
        <f>SUM(D81:D91)</f>
        <v>7000</v>
      </c>
    </row>
    <row r="93" spans="1:4" x14ac:dyDescent="0.25">
      <c r="A93" s="120" t="s">
        <v>3</v>
      </c>
      <c r="B93" s="120" t="s">
        <v>150</v>
      </c>
      <c r="C93" s="120" t="s">
        <v>151</v>
      </c>
      <c r="D93" s="120" t="s">
        <v>165</v>
      </c>
    </row>
    <row r="94" spans="1:4" x14ac:dyDescent="0.25">
      <c r="A94" s="258">
        <v>8</v>
      </c>
      <c r="B94" s="121"/>
      <c r="C94" s="122"/>
      <c r="D94" s="70"/>
    </row>
    <row r="95" spans="1:4" x14ac:dyDescent="0.25">
      <c r="A95" s="258"/>
      <c r="B95" s="121"/>
      <c r="C95" s="122"/>
      <c r="D95" s="70"/>
    </row>
    <row r="96" spans="1:4" x14ac:dyDescent="0.25">
      <c r="A96" s="258"/>
      <c r="B96" s="121"/>
      <c r="C96" s="122"/>
      <c r="D96" s="70"/>
    </row>
    <row r="97" spans="1:4" x14ac:dyDescent="0.25">
      <c r="A97" s="258"/>
      <c r="B97" s="121"/>
      <c r="C97" s="122"/>
      <c r="D97" s="70"/>
    </row>
    <row r="98" spans="1:4" x14ac:dyDescent="0.25">
      <c r="A98" s="258"/>
      <c r="B98" s="121"/>
      <c r="C98" s="122"/>
      <c r="D98" s="70"/>
    </row>
    <row r="99" spans="1:4" x14ac:dyDescent="0.25">
      <c r="A99" s="258"/>
      <c r="B99" s="121"/>
      <c r="C99" s="122"/>
      <c r="D99" s="70"/>
    </row>
    <row r="100" spans="1:4" x14ac:dyDescent="0.25">
      <c r="A100" s="258"/>
      <c r="B100" s="121"/>
      <c r="C100" s="122"/>
      <c r="D100" s="70"/>
    </row>
    <row r="101" spans="1:4" x14ac:dyDescent="0.25">
      <c r="A101" s="258"/>
      <c r="B101" s="121"/>
      <c r="C101" s="122"/>
      <c r="D101" s="70"/>
    </row>
    <row r="102" spans="1:4" x14ac:dyDescent="0.25">
      <c r="A102" s="258"/>
      <c r="B102" s="121"/>
      <c r="C102" s="122"/>
      <c r="D102" s="70"/>
    </row>
    <row r="103" spans="1:4" x14ac:dyDescent="0.25">
      <c r="A103" s="258"/>
      <c r="B103" s="121"/>
      <c r="C103" s="122"/>
      <c r="D103" s="70"/>
    </row>
    <row r="104" spans="1:4" x14ac:dyDescent="0.25">
      <c r="A104" s="258"/>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58">
        <v>9</v>
      </c>
      <c r="B107" s="121" t="s">
        <v>183</v>
      </c>
      <c r="C107" s="122" t="s">
        <v>57</v>
      </c>
      <c r="D107" s="70">
        <v>16000</v>
      </c>
    </row>
    <row r="108" spans="1:4" x14ac:dyDescent="0.25">
      <c r="A108" s="258"/>
      <c r="B108" s="121"/>
      <c r="C108" s="122"/>
      <c r="D108" s="70"/>
    </row>
    <row r="109" spans="1:4" x14ac:dyDescent="0.25">
      <c r="A109" s="258"/>
      <c r="B109" s="121"/>
      <c r="C109" s="122"/>
      <c r="D109" s="70"/>
    </row>
    <row r="110" spans="1:4" x14ac:dyDescent="0.25">
      <c r="A110" s="258"/>
      <c r="B110" s="121"/>
      <c r="C110" s="122"/>
      <c r="D110" s="70"/>
    </row>
    <row r="111" spans="1:4" x14ac:dyDescent="0.25">
      <c r="A111" s="258"/>
      <c r="B111" s="121"/>
      <c r="C111" s="122"/>
      <c r="D111" s="70"/>
    </row>
    <row r="112" spans="1:4" x14ac:dyDescent="0.25">
      <c r="A112" s="258"/>
      <c r="B112" s="121"/>
      <c r="C112" s="122"/>
      <c r="D112" s="70"/>
    </row>
    <row r="113" spans="1:4" x14ac:dyDescent="0.25">
      <c r="A113" s="258"/>
      <c r="B113" s="121"/>
      <c r="C113" s="122"/>
      <c r="D113" s="70"/>
    </row>
    <row r="114" spans="1:4" x14ac:dyDescent="0.25">
      <c r="A114" s="258"/>
      <c r="B114" s="121"/>
      <c r="C114" s="122"/>
      <c r="D114" s="70"/>
    </row>
    <row r="115" spans="1:4" x14ac:dyDescent="0.25">
      <c r="A115" s="258"/>
      <c r="B115" s="121"/>
      <c r="C115" s="122"/>
      <c r="D115" s="70"/>
    </row>
    <row r="116" spans="1:4" x14ac:dyDescent="0.25">
      <c r="A116" s="258"/>
      <c r="B116" s="121"/>
      <c r="C116" s="122"/>
      <c r="D116" s="70"/>
    </row>
    <row r="117" spans="1:4" x14ac:dyDescent="0.25">
      <c r="A117" s="258"/>
      <c r="B117" s="121"/>
      <c r="C117" s="122"/>
      <c r="D117" s="70"/>
    </row>
    <row r="118" spans="1:4" x14ac:dyDescent="0.25">
      <c r="A118" s="124" t="s">
        <v>58</v>
      </c>
      <c r="B118" s="123"/>
      <c r="C118" s="123"/>
      <c r="D118" s="70">
        <f>SUM(D107:D117)</f>
        <v>16000</v>
      </c>
    </row>
    <row r="119" spans="1:4" x14ac:dyDescent="0.25">
      <c r="A119" s="125" t="s">
        <v>3</v>
      </c>
      <c r="B119" s="125" t="s">
        <v>150</v>
      </c>
      <c r="C119" s="125" t="s">
        <v>151</v>
      </c>
      <c r="D119" s="125" t="s">
        <v>165</v>
      </c>
    </row>
    <row r="120" spans="1:4" x14ac:dyDescent="0.25">
      <c r="A120" s="258">
        <v>10</v>
      </c>
      <c r="B120" s="121"/>
      <c r="C120" s="122"/>
      <c r="D120" s="70"/>
    </row>
    <row r="121" spans="1:4" x14ac:dyDescent="0.25">
      <c r="A121" s="258"/>
      <c r="B121" s="121"/>
      <c r="C121" s="122"/>
      <c r="D121" s="70"/>
    </row>
    <row r="122" spans="1:4" x14ac:dyDescent="0.25">
      <c r="A122" s="258"/>
      <c r="B122" s="121"/>
      <c r="C122" s="122"/>
      <c r="D122" s="70"/>
    </row>
    <row r="123" spans="1:4" x14ac:dyDescent="0.25">
      <c r="A123" s="258"/>
      <c r="B123" s="121"/>
      <c r="C123" s="122"/>
      <c r="D123" s="70"/>
    </row>
    <row r="124" spans="1:4" x14ac:dyDescent="0.25">
      <c r="A124" s="258"/>
      <c r="B124" s="121"/>
      <c r="C124" s="122"/>
      <c r="D124" s="70"/>
    </row>
    <row r="125" spans="1:4" x14ac:dyDescent="0.25">
      <c r="A125" s="258"/>
      <c r="B125" s="121"/>
      <c r="C125" s="122"/>
      <c r="D125" s="70"/>
    </row>
    <row r="126" spans="1:4" x14ac:dyDescent="0.25">
      <c r="A126" s="258"/>
      <c r="B126" s="121"/>
      <c r="C126" s="122"/>
      <c r="D126" s="70"/>
    </row>
    <row r="127" spans="1:4" x14ac:dyDescent="0.25">
      <c r="A127" s="258"/>
      <c r="B127" s="121"/>
      <c r="C127" s="122"/>
      <c r="D127" s="70"/>
    </row>
    <row r="128" spans="1:4" x14ac:dyDescent="0.25">
      <c r="A128" s="258"/>
      <c r="B128" s="121"/>
      <c r="C128" s="122"/>
      <c r="D128" s="70"/>
    </row>
    <row r="129" spans="1:4" x14ac:dyDescent="0.25">
      <c r="A129" s="258"/>
      <c r="B129" s="121"/>
      <c r="C129" s="122"/>
      <c r="D129" s="70"/>
    </row>
    <row r="130" spans="1:4" x14ac:dyDescent="0.25">
      <c r="A130" s="258"/>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8">
        <v>11</v>
      </c>
      <c r="B133" s="121" t="s">
        <v>188</v>
      </c>
      <c r="C133" s="122" t="s">
        <v>189</v>
      </c>
      <c r="D133" s="70">
        <v>32000</v>
      </c>
    </row>
    <row r="134" spans="1:4" x14ac:dyDescent="0.25">
      <c r="A134" s="258"/>
      <c r="B134" s="121" t="s">
        <v>190</v>
      </c>
      <c r="C134" s="122" t="s">
        <v>152</v>
      </c>
      <c r="D134" s="70">
        <v>10000</v>
      </c>
    </row>
    <row r="135" spans="1:4" x14ac:dyDescent="0.25">
      <c r="A135" s="258"/>
      <c r="B135" s="121"/>
      <c r="C135" s="122"/>
      <c r="D135" s="70"/>
    </row>
    <row r="136" spans="1:4" x14ac:dyDescent="0.25">
      <c r="A136" s="258"/>
      <c r="B136" s="121"/>
      <c r="C136" s="122"/>
      <c r="D136" s="70"/>
    </row>
    <row r="137" spans="1:4" x14ac:dyDescent="0.25">
      <c r="A137" s="258"/>
      <c r="B137" s="121"/>
      <c r="C137" s="122"/>
      <c r="D137" s="70"/>
    </row>
    <row r="138" spans="1:4" x14ac:dyDescent="0.25">
      <c r="A138" s="258"/>
      <c r="B138" s="121"/>
      <c r="C138" s="122"/>
      <c r="D138" s="70"/>
    </row>
    <row r="139" spans="1:4" x14ac:dyDescent="0.25">
      <c r="A139" s="258"/>
      <c r="B139" s="121"/>
      <c r="C139" s="122"/>
      <c r="D139" s="70"/>
    </row>
    <row r="140" spans="1:4" x14ac:dyDescent="0.25">
      <c r="A140" s="258"/>
      <c r="B140" s="121"/>
      <c r="C140" s="122"/>
      <c r="D140" s="70"/>
    </row>
    <row r="141" spans="1:4" x14ac:dyDescent="0.25">
      <c r="A141" s="258"/>
      <c r="B141" s="121"/>
      <c r="C141" s="122"/>
      <c r="D141" s="70"/>
    </row>
    <row r="142" spans="1:4" x14ac:dyDescent="0.25">
      <c r="A142" s="258"/>
      <c r="B142" s="121"/>
      <c r="C142" s="122"/>
      <c r="D142" s="70"/>
    </row>
    <row r="143" spans="1:4" x14ac:dyDescent="0.25">
      <c r="A143" s="258"/>
      <c r="B143" s="121"/>
      <c r="C143" s="122"/>
      <c r="D143" s="70"/>
    </row>
    <row r="144" spans="1:4" x14ac:dyDescent="0.25">
      <c r="A144" s="124" t="s">
        <v>58</v>
      </c>
      <c r="B144" s="123"/>
      <c r="C144" s="123"/>
      <c r="D144" s="70">
        <f>SUM(D133:D143)</f>
        <v>42000</v>
      </c>
    </row>
    <row r="145" spans="1:4" x14ac:dyDescent="0.25">
      <c r="A145" s="125" t="s">
        <v>3</v>
      </c>
      <c r="B145" s="125" t="s">
        <v>150</v>
      </c>
      <c r="C145" s="125" t="s">
        <v>151</v>
      </c>
      <c r="D145" s="125" t="s">
        <v>165</v>
      </c>
    </row>
    <row r="146" spans="1:4" x14ac:dyDescent="0.25">
      <c r="A146" s="258">
        <v>12</v>
      </c>
      <c r="B146" s="121"/>
      <c r="C146" s="122"/>
      <c r="D146" s="70"/>
    </row>
    <row r="147" spans="1:4" x14ac:dyDescent="0.25">
      <c r="A147" s="258"/>
      <c r="B147" s="121"/>
      <c r="C147" s="122"/>
      <c r="D147" s="70"/>
    </row>
    <row r="148" spans="1:4" x14ac:dyDescent="0.25">
      <c r="A148" s="258"/>
      <c r="B148" s="121"/>
      <c r="C148" s="122"/>
      <c r="D148" s="70"/>
    </row>
    <row r="149" spans="1:4" x14ac:dyDescent="0.25">
      <c r="A149" s="258"/>
      <c r="B149" s="121"/>
      <c r="C149" s="122"/>
      <c r="D149" s="70"/>
    </row>
    <row r="150" spans="1:4" x14ac:dyDescent="0.25">
      <c r="A150" s="258"/>
      <c r="B150" s="121"/>
      <c r="C150" s="122"/>
      <c r="D150" s="70"/>
    </row>
    <row r="151" spans="1:4" x14ac:dyDescent="0.25">
      <c r="A151" s="258"/>
      <c r="B151" s="121"/>
      <c r="C151" s="122"/>
      <c r="D151" s="70"/>
    </row>
    <row r="152" spans="1:4" x14ac:dyDescent="0.25">
      <c r="A152" s="258"/>
      <c r="B152" s="121"/>
      <c r="C152" s="122"/>
      <c r="D152" s="70"/>
    </row>
    <row r="153" spans="1:4" x14ac:dyDescent="0.25">
      <c r="A153" s="258"/>
      <c r="B153" s="121"/>
      <c r="C153" s="122"/>
      <c r="D153" s="70"/>
    </row>
    <row r="154" spans="1:4" x14ac:dyDescent="0.25">
      <c r="A154" s="258"/>
      <c r="B154" s="121"/>
      <c r="C154" s="122"/>
      <c r="D154" s="70"/>
    </row>
    <row r="155" spans="1:4" x14ac:dyDescent="0.25">
      <c r="A155" s="258"/>
      <c r="B155" s="121"/>
      <c r="C155" s="122"/>
      <c r="D155" s="70"/>
    </row>
    <row r="156" spans="1:4" x14ac:dyDescent="0.25">
      <c r="A156" s="258"/>
      <c r="B156" s="121"/>
      <c r="C156" s="122"/>
      <c r="D156" s="70"/>
    </row>
    <row r="157" spans="1:4" x14ac:dyDescent="0.25">
      <c r="A157" s="124" t="s">
        <v>58</v>
      </c>
      <c r="B157" s="123"/>
      <c r="C157" s="123"/>
      <c r="D157" s="70">
        <f>SUM(D146:D156)</f>
        <v>0</v>
      </c>
    </row>
    <row r="158" spans="1:4" x14ac:dyDescent="0.25">
      <c r="A158" s="125" t="s">
        <v>3</v>
      </c>
      <c r="B158" s="125" t="s">
        <v>150</v>
      </c>
      <c r="C158" s="125" t="s">
        <v>151</v>
      </c>
      <c r="D158" s="125" t="s">
        <v>165</v>
      </c>
    </row>
    <row r="159" spans="1:4" x14ac:dyDescent="0.25">
      <c r="A159" s="258">
        <v>13</v>
      </c>
      <c r="B159" s="121" t="s">
        <v>193</v>
      </c>
      <c r="C159" s="122" t="s">
        <v>153</v>
      </c>
      <c r="D159" s="70">
        <v>67000</v>
      </c>
    </row>
    <row r="160" spans="1:4" x14ac:dyDescent="0.25">
      <c r="A160" s="258"/>
      <c r="B160" s="121"/>
      <c r="C160" s="122"/>
      <c r="D160" s="70"/>
    </row>
    <row r="161" spans="1:4" x14ac:dyDescent="0.25">
      <c r="A161" s="258"/>
      <c r="B161" s="121"/>
      <c r="C161" s="122"/>
      <c r="D161" s="70"/>
    </row>
    <row r="162" spans="1:4" x14ac:dyDescent="0.25">
      <c r="A162" s="258"/>
      <c r="B162" s="121"/>
      <c r="C162" s="122"/>
      <c r="D162" s="70"/>
    </row>
    <row r="163" spans="1:4" x14ac:dyDescent="0.25">
      <c r="A163" s="258"/>
      <c r="B163" s="121"/>
      <c r="C163" s="122"/>
      <c r="D163" s="70"/>
    </row>
    <row r="164" spans="1:4" x14ac:dyDescent="0.25">
      <c r="A164" s="258"/>
      <c r="B164" s="121"/>
      <c r="C164" s="122"/>
      <c r="D164" s="70"/>
    </row>
    <row r="165" spans="1:4" x14ac:dyDescent="0.25">
      <c r="A165" s="258"/>
      <c r="B165" s="121"/>
      <c r="C165" s="122"/>
      <c r="D165" s="70"/>
    </row>
    <row r="166" spans="1:4" x14ac:dyDescent="0.25">
      <c r="A166" s="258"/>
      <c r="B166" s="121"/>
      <c r="C166" s="122"/>
      <c r="D166" s="70"/>
    </row>
    <row r="167" spans="1:4" x14ac:dyDescent="0.25">
      <c r="A167" s="258"/>
      <c r="B167" s="121"/>
      <c r="C167" s="122"/>
      <c r="D167" s="70"/>
    </row>
    <row r="168" spans="1:4" x14ac:dyDescent="0.25">
      <c r="A168" s="258"/>
      <c r="B168" s="121"/>
      <c r="C168" s="122"/>
      <c r="D168" s="70"/>
    </row>
    <row r="169" spans="1:4" x14ac:dyDescent="0.25">
      <c r="A169" s="258"/>
      <c r="B169" s="121"/>
      <c r="C169" s="122"/>
      <c r="D169" s="70"/>
    </row>
    <row r="170" spans="1:4" x14ac:dyDescent="0.25">
      <c r="A170" s="124" t="s">
        <v>58</v>
      </c>
      <c r="B170" s="123"/>
      <c r="C170" s="123"/>
      <c r="D170" s="70">
        <f>SUM(D159:D169)</f>
        <v>67000</v>
      </c>
    </row>
    <row r="171" spans="1:4" x14ac:dyDescent="0.25">
      <c r="A171" s="125" t="s">
        <v>3</v>
      </c>
      <c r="B171" s="125" t="s">
        <v>150</v>
      </c>
      <c r="C171" s="125" t="s">
        <v>151</v>
      </c>
      <c r="D171" s="125" t="s">
        <v>165</v>
      </c>
    </row>
    <row r="172" spans="1:4" x14ac:dyDescent="0.25">
      <c r="A172" s="258">
        <v>14</v>
      </c>
      <c r="B172" s="121"/>
      <c r="C172" s="122"/>
      <c r="D172" s="70"/>
    </row>
    <row r="173" spans="1:4" x14ac:dyDescent="0.25">
      <c r="A173" s="258"/>
      <c r="B173" s="121"/>
      <c r="C173" s="122"/>
      <c r="D173" s="70"/>
    </row>
    <row r="174" spans="1:4" x14ac:dyDescent="0.25">
      <c r="A174" s="258"/>
      <c r="B174" s="121"/>
      <c r="C174" s="122"/>
      <c r="D174" s="70"/>
    </row>
    <row r="175" spans="1:4" x14ac:dyDescent="0.25">
      <c r="A175" s="258"/>
      <c r="B175" s="121"/>
      <c r="C175" s="122"/>
      <c r="D175" s="70"/>
    </row>
    <row r="176" spans="1:4" x14ac:dyDescent="0.25">
      <c r="A176" s="258"/>
      <c r="B176" s="121"/>
      <c r="C176" s="122"/>
      <c r="D176" s="70"/>
    </row>
    <row r="177" spans="1:4" x14ac:dyDescent="0.25">
      <c r="A177" s="258"/>
      <c r="B177" s="121"/>
      <c r="C177" s="122"/>
      <c r="D177" s="70"/>
    </row>
    <row r="178" spans="1:4" x14ac:dyDescent="0.25">
      <c r="A178" s="258"/>
      <c r="B178" s="121"/>
      <c r="C178" s="122"/>
      <c r="D178" s="70"/>
    </row>
    <row r="179" spans="1:4" x14ac:dyDescent="0.25">
      <c r="A179" s="258"/>
      <c r="B179" s="121"/>
      <c r="C179" s="122"/>
      <c r="D179" s="70"/>
    </row>
    <row r="180" spans="1:4" x14ac:dyDescent="0.25">
      <c r="A180" s="258"/>
      <c r="B180" s="121"/>
      <c r="C180" s="122"/>
      <c r="D180" s="70"/>
    </row>
    <row r="181" spans="1:4" x14ac:dyDescent="0.25">
      <c r="A181" s="258"/>
      <c r="B181" s="121"/>
      <c r="C181" s="122"/>
      <c r="D181" s="70"/>
    </row>
    <row r="182" spans="1:4" x14ac:dyDescent="0.25">
      <c r="A182" s="258"/>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58">
        <v>15</v>
      </c>
      <c r="B185" s="121"/>
      <c r="C185" s="122"/>
      <c r="D185" s="70"/>
    </row>
    <row r="186" spans="1:4" x14ac:dyDescent="0.25">
      <c r="A186" s="258"/>
      <c r="B186" s="121"/>
      <c r="C186" s="122"/>
      <c r="D186" s="70"/>
    </row>
    <row r="187" spans="1:4" x14ac:dyDescent="0.25">
      <c r="A187" s="258"/>
      <c r="B187" s="121"/>
      <c r="C187" s="122"/>
      <c r="D187" s="70"/>
    </row>
    <row r="188" spans="1:4" x14ac:dyDescent="0.25">
      <c r="A188" s="258"/>
      <c r="B188" s="121"/>
      <c r="C188" s="122"/>
      <c r="D188" s="70"/>
    </row>
    <row r="189" spans="1:4" x14ac:dyDescent="0.25">
      <c r="A189" s="258"/>
      <c r="B189" s="121"/>
      <c r="C189" s="122"/>
      <c r="D189" s="70"/>
    </row>
    <row r="190" spans="1:4" x14ac:dyDescent="0.25">
      <c r="A190" s="258"/>
      <c r="B190" s="121"/>
      <c r="C190" s="122"/>
      <c r="D190" s="70"/>
    </row>
    <row r="191" spans="1:4" x14ac:dyDescent="0.25">
      <c r="A191" s="258"/>
      <c r="B191" s="121"/>
      <c r="C191" s="122"/>
      <c r="D191" s="70"/>
    </row>
    <row r="192" spans="1:4" x14ac:dyDescent="0.25">
      <c r="A192" s="258"/>
      <c r="B192" s="121"/>
      <c r="C192" s="122"/>
      <c r="D192" s="70"/>
    </row>
    <row r="193" spans="1:4" x14ac:dyDescent="0.25">
      <c r="A193" s="258"/>
      <c r="B193" s="121"/>
      <c r="C193" s="122"/>
      <c r="D193" s="70"/>
    </row>
    <row r="194" spans="1:4" x14ac:dyDescent="0.25">
      <c r="A194" s="258"/>
      <c r="B194" s="121"/>
      <c r="C194" s="122"/>
      <c r="D194" s="70"/>
    </row>
    <row r="195" spans="1:4" x14ac:dyDescent="0.25">
      <c r="A195" s="258"/>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58">
        <v>16</v>
      </c>
      <c r="B198" s="121"/>
      <c r="C198" s="122"/>
      <c r="D198" s="70"/>
    </row>
    <row r="199" spans="1:4" x14ac:dyDescent="0.25">
      <c r="A199" s="258"/>
      <c r="B199" s="121"/>
      <c r="C199" s="122"/>
      <c r="D199" s="70"/>
    </row>
    <row r="200" spans="1:4" x14ac:dyDescent="0.25">
      <c r="A200" s="258"/>
      <c r="B200" s="121"/>
      <c r="C200" s="122"/>
      <c r="D200" s="70"/>
    </row>
    <row r="201" spans="1:4" x14ac:dyDescent="0.25">
      <c r="A201" s="258"/>
      <c r="B201" s="121"/>
      <c r="C201" s="122"/>
      <c r="D201" s="70"/>
    </row>
    <row r="202" spans="1:4" x14ac:dyDescent="0.25">
      <c r="A202" s="258"/>
      <c r="B202" s="121"/>
      <c r="C202" s="122"/>
      <c r="D202" s="70"/>
    </row>
    <row r="203" spans="1:4" x14ac:dyDescent="0.25">
      <c r="A203" s="258"/>
      <c r="B203" s="121"/>
      <c r="C203" s="122"/>
      <c r="D203" s="70"/>
    </row>
    <row r="204" spans="1:4" x14ac:dyDescent="0.25">
      <c r="A204" s="258"/>
      <c r="B204" s="121"/>
      <c r="C204" s="122"/>
      <c r="D204" s="70"/>
    </row>
    <row r="205" spans="1:4" x14ac:dyDescent="0.25">
      <c r="A205" s="258"/>
      <c r="B205" s="121"/>
      <c r="C205" s="122"/>
      <c r="D205" s="70"/>
    </row>
    <row r="206" spans="1:4" x14ac:dyDescent="0.25">
      <c r="A206" s="258"/>
      <c r="B206" s="121"/>
      <c r="C206" s="122"/>
      <c r="D206" s="70"/>
    </row>
    <row r="207" spans="1:4" x14ac:dyDescent="0.25">
      <c r="A207" s="258"/>
      <c r="B207" s="121"/>
      <c r="C207" s="122"/>
      <c r="D207" s="70"/>
    </row>
    <row r="208" spans="1:4" x14ac:dyDescent="0.25">
      <c r="A208" s="258"/>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58">
        <v>17</v>
      </c>
      <c r="B211" s="121" t="s">
        <v>218</v>
      </c>
      <c r="C211" s="122" t="s">
        <v>152</v>
      </c>
      <c r="D211" s="70">
        <v>17000</v>
      </c>
    </row>
    <row r="212" spans="1:4" x14ac:dyDescent="0.25">
      <c r="A212" s="258"/>
      <c r="B212" s="121"/>
      <c r="C212" s="122"/>
      <c r="D212" s="70"/>
    </row>
    <row r="213" spans="1:4" x14ac:dyDescent="0.25">
      <c r="A213" s="258"/>
      <c r="B213" s="121"/>
      <c r="C213" s="122"/>
      <c r="D213" s="70"/>
    </row>
    <row r="214" spans="1:4" x14ac:dyDescent="0.25">
      <c r="A214" s="258"/>
      <c r="B214" s="121"/>
      <c r="C214" s="122"/>
      <c r="D214" s="70"/>
    </row>
    <row r="215" spans="1:4" x14ac:dyDescent="0.25">
      <c r="A215" s="258"/>
      <c r="B215" s="121"/>
      <c r="C215" s="122"/>
      <c r="D215" s="70"/>
    </row>
    <row r="216" spans="1:4" x14ac:dyDescent="0.25">
      <c r="A216" s="258"/>
      <c r="B216" s="121"/>
      <c r="C216" s="122"/>
      <c r="D216" s="70"/>
    </row>
    <row r="217" spans="1:4" x14ac:dyDescent="0.25">
      <c r="A217" s="258"/>
      <c r="B217" s="121"/>
      <c r="C217" s="122"/>
      <c r="D217" s="70"/>
    </row>
    <row r="218" spans="1:4" x14ac:dyDescent="0.25">
      <c r="A218" s="258"/>
      <c r="B218" s="121"/>
      <c r="C218" s="122"/>
      <c r="D218" s="70"/>
    </row>
    <row r="219" spans="1:4" x14ac:dyDescent="0.25">
      <c r="A219" s="258"/>
      <c r="B219" s="121"/>
      <c r="C219" s="122"/>
      <c r="D219" s="70"/>
    </row>
    <row r="220" spans="1:4" x14ac:dyDescent="0.25">
      <c r="A220" s="258"/>
      <c r="B220" s="121"/>
      <c r="C220" s="122"/>
      <c r="D220" s="70"/>
    </row>
    <row r="221" spans="1:4" x14ac:dyDescent="0.25">
      <c r="A221" s="258"/>
      <c r="B221" s="121"/>
      <c r="C221" s="122"/>
      <c r="D221" s="70"/>
    </row>
    <row r="222" spans="1:4" x14ac:dyDescent="0.25">
      <c r="A222" s="124" t="s">
        <v>58</v>
      </c>
      <c r="B222" s="123"/>
      <c r="C222" s="123"/>
      <c r="D222" s="70">
        <f>SUM(D211:D221)</f>
        <v>17000</v>
      </c>
    </row>
    <row r="223" spans="1:4" x14ac:dyDescent="0.25">
      <c r="A223" s="125" t="s">
        <v>3</v>
      </c>
      <c r="B223" s="125" t="s">
        <v>150</v>
      </c>
      <c r="C223" s="125" t="s">
        <v>151</v>
      </c>
      <c r="D223" s="125" t="s">
        <v>165</v>
      </c>
    </row>
    <row r="224" spans="1:4" x14ac:dyDescent="0.25">
      <c r="A224" s="258">
        <v>18</v>
      </c>
      <c r="B224" s="121"/>
      <c r="C224" s="122"/>
      <c r="D224" s="70"/>
    </row>
    <row r="225" spans="1:4" x14ac:dyDescent="0.25">
      <c r="A225" s="258"/>
      <c r="B225" s="121"/>
      <c r="C225" s="122"/>
      <c r="D225" s="70"/>
    </row>
    <row r="226" spans="1:4" x14ac:dyDescent="0.25">
      <c r="A226" s="258"/>
      <c r="B226" s="121"/>
      <c r="C226" s="122"/>
      <c r="D226" s="70"/>
    </row>
    <row r="227" spans="1:4" x14ac:dyDescent="0.25">
      <c r="A227" s="258"/>
      <c r="B227" s="121"/>
      <c r="C227" s="122"/>
      <c r="D227" s="70"/>
    </row>
    <row r="228" spans="1:4" x14ac:dyDescent="0.25">
      <c r="A228" s="258"/>
      <c r="B228" s="121"/>
      <c r="C228" s="122"/>
      <c r="D228" s="70"/>
    </row>
    <row r="229" spans="1:4" x14ac:dyDescent="0.25">
      <c r="A229" s="258"/>
      <c r="B229" s="121"/>
      <c r="C229" s="122"/>
      <c r="D229" s="70"/>
    </row>
    <row r="230" spans="1:4" x14ac:dyDescent="0.25">
      <c r="A230" s="258"/>
      <c r="B230" s="121"/>
      <c r="C230" s="122"/>
      <c r="D230" s="70"/>
    </row>
    <row r="231" spans="1:4" x14ac:dyDescent="0.25">
      <c r="A231" s="258"/>
      <c r="B231" s="121"/>
      <c r="C231" s="122"/>
      <c r="D231" s="70"/>
    </row>
    <row r="232" spans="1:4" x14ac:dyDescent="0.25">
      <c r="A232" s="258"/>
      <c r="B232" s="121"/>
      <c r="C232" s="122"/>
      <c r="D232" s="70"/>
    </row>
    <row r="233" spans="1:4" x14ac:dyDescent="0.25">
      <c r="A233" s="258"/>
      <c r="B233" s="121"/>
      <c r="C233" s="122"/>
      <c r="D233" s="70"/>
    </row>
    <row r="234" spans="1:4" x14ac:dyDescent="0.25">
      <c r="A234" s="258"/>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8">
        <v>19</v>
      </c>
      <c r="B237" s="121" t="s">
        <v>204</v>
      </c>
      <c r="C237" s="122" t="s">
        <v>152</v>
      </c>
      <c r="D237" s="70">
        <v>51000</v>
      </c>
    </row>
    <row r="238" spans="1:4" x14ac:dyDescent="0.25">
      <c r="A238" s="258"/>
      <c r="B238" s="121" t="s">
        <v>207</v>
      </c>
      <c r="C238" s="122" t="s">
        <v>152</v>
      </c>
      <c r="D238" s="70">
        <v>39500</v>
      </c>
    </row>
    <row r="239" spans="1:4" x14ac:dyDescent="0.25">
      <c r="A239" s="258"/>
      <c r="B239" s="121"/>
      <c r="C239" s="122"/>
      <c r="D239" s="70"/>
    </row>
    <row r="240" spans="1:4" x14ac:dyDescent="0.25">
      <c r="A240" s="258"/>
      <c r="B240" s="121"/>
      <c r="C240" s="122"/>
      <c r="D240" s="70"/>
    </row>
    <row r="241" spans="1:4" x14ac:dyDescent="0.25">
      <c r="A241" s="258"/>
      <c r="B241" s="121"/>
      <c r="C241" s="122"/>
      <c r="D241" s="70"/>
    </row>
    <row r="242" spans="1:4" x14ac:dyDescent="0.25">
      <c r="A242" s="258"/>
      <c r="B242" s="121"/>
      <c r="C242" s="122"/>
      <c r="D242" s="70"/>
    </row>
    <row r="243" spans="1:4" x14ac:dyDescent="0.25">
      <c r="A243" s="258"/>
      <c r="B243" s="121"/>
      <c r="C243" s="122"/>
      <c r="D243" s="70"/>
    </row>
    <row r="244" spans="1:4" x14ac:dyDescent="0.25">
      <c r="A244" s="258"/>
      <c r="B244" s="121"/>
      <c r="C244" s="122"/>
      <c r="D244" s="70"/>
    </row>
    <row r="245" spans="1:4" x14ac:dyDescent="0.25">
      <c r="A245" s="258"/>
      <c r="B245" s="121"/>
      <c r="C245" s="122"/>
      <c r="D245" s="70"/>
    </row>
    <row r="246" spans="1:4" x14ac:dyDescent="0.25">
      <c r="A246" s="258"/>
      <c r="B246" s="121"/>
      <c r="C246" s="122"/>
      <c r="D246" s="70"/>
    </row>
    <row r="247" spans="1:4" x14ac:dyDescent="0.25">
      <c r="A247" s="258"/>
      <c r="B247" s="121"/>
      <c r="C247" s="122"/>
      <c r="D247" s="70"/>
    </row>
    <row r="248" spans="1:4" x14ac:dyDescent="0.25">
      <c r="A248" s="124" t="s">
        <v>58</v>
      </c>
      <c r="B248" s="123"/>
      <c r="C248" s="123"/>
      <c r="D248" s="70">
        <f>SUM(D237:D247)</f>
        <v>90500</v>
      </c>
    </row>
    <row r="249" spans="1:4" x14ac:dyDescent="0.25">
      <c r="A249" s="126" t="s">
        <v>3</v>
      </c>
      <c r="B249" s="126" t="s">
        <v>150</v>
      </c>
      <c r="C249" s="126" t="s">
        <v>151</v>
      </c>
      <c r="D249" s="126" t="s">
        <v>165</v>
      </c>
    </row>
    <row r="250" spans="1:4" x14ac:dyDescent="0.25">
      <c r="A250" s="258">
        <v>20</v>
      </c>
      <c r="B250" s="121"/>
      <c r="C250" s="122"/>
      <c r="D250" s="70"/>
    </row>
    <row r="251" spans="1:4" x14ac:dyDescent="0.25">
      <c r="A251" s="258"/>
      <c r="B251" s="121"/>
      <c r="C251" s="122"/>
      <c r="D251" s="70"/>
    </row>
    <row r="252" spans="1:4" x14ac:dyDescent="0.25">
      <c r="A252" s="258"/>
      <c r="B252" s="121"/>
      <c r="C252" s="122"/>
      <c r="D252" s="70"/>
    </row>
    <row r="253" spans="1:4" x14ac:dyDescent="0.25">
      <c r="A253" s="258"/>
      <c r="B253" s="121"/>
      <c r="C253" s="122"/>
      <c r="D253" s="70"/>
    </row>
    <row r="254" spans="1:4" x14ac:dyDescent="0.25">
      <c r="A254" s="258"/>
      <c r="B254" s="121"/>
      <c r="C254" s="122"/>
      <c r="D254" s="70"/>
    </row>
    <row r="255" spans="1:4" x14ac:dyDescent="0.25">
      <c r="A255" s="258"/>
      <c r="B255" s="121"/>
      <c r="C255" s="122"/>
      <c r="D255" s="70"/>
    </row>
    <row r="256" spans="1:4" x14ac:dyDescent="0.25">
      <c r="A256" s="258"/>
      <c r="B256" s="121"/>
      <c r="C256" s="122"/>
      <c r="D256" s="70"/>
    </row>
    <row r="257" spans="1:4" x14ac:dyDescent="0.25">
      <c r="A257" s="258"/>
      <c r="B257" s="121"/>
      <c r="C257" s="122"/>
      <c r="D257" s="70"/>
    </row>
    <row r="258" spans="1:4" x14ac:dyDescent="0.25">
      <c r="A258" s="258"/>
      <c r="B258" s="121"/>
      <c r="C258" s="122"/>
      <c r="D258" s="70"/>
    </row>
    <row r="259" spans="1:4" x14ac:dyDescent="0.25">
      <c r="A259" s="258"/>
      <c r="B259" s="121"/>
      <c r="C259" s="122"/>
      <c r="D259" s="70"/>
    </row>
    <row r="260" spans="1:4" x14ac:dyDescent="0.25">
      <c r="A260" s="258"/>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58">
        <v>21</v>
      </c>
      <c r="B263" s="121" t="s">
        <v>209</v>
      </c>
      <c r="C263" s="122" t="s">
        <v>152</v>
      </c>
      <c r="D263" s="70">
        <v>14000</v>
      </c>
    </row>
    <row r="264" spans="1:4" x14ac:dyDescent="0.25">
      <c r="A264" s="258"/>
      <c r="B264" s="121" t="s">
        <v>156</v>
      </c>
      <c r="C264" s="122" t="s">
        <v>56</v>
      </c>
      <c r="D264" s="70">
        <v>30000</v>
      </c>
    </row>
    <row r="265" spans="1:4" x14ac:dyDescent="0.25">
      <c r="A265" s="258"/>
      <c r="B265" s="121"/>
      <c r="C265" s="122"/>
      <c r="D265" s="70"/>
    </row>
    <row r="266" spans="1:4" x14ac:dyDescent="0.25">
      <c r="A266" s="258"/>
      <c r="B266" s="121"/>
      <c r="C266" s="122"/>
      <c r="D266" s="70"/>
    </row>
    <row r="267" spans="1:4" x14ac:dyDescent="0.25">
      <c r="A267" s="258"/>
      <c r="B267" s="121"/>
      <c r="C267" s="122"/>
      <c r="D267" s="70"/>
    </row>
    <row r="268" spans="1:4" x14ac:dyDescent="0.25">
      <c r="A268" s="258"/>
      <c r="B268" s="121"/>
      <c r="C268" s="122"/>
      <c r="D268" s="70"/>
    </row>
    <row r="269" spans="1:4" x14ac:dyDescent="0.25">
      <c r="A269" s="258"/>
      <c r="B269" s="121"/>
      <c r="C269" s="122"/>
      <c r="D269" s="70"/>
    </row>
    <row r="270" spans="1:4" x14ac:dyDescent="0.25">
      <c r="A270" s="258"/>
      <c r="B270" s="121"/>
      <c r="C270" s="122"/>
      <c r="D270" s="70"/>
    </row>
    <row r="271" spans="1:4" x14ac:dyDescent="0.25">
      <c r="A271" s="258"/>
      <c r="B271" s="121"/>
      <c r="C271" s="122"/>
      <c r="D271" s="70"/>
    </row>
    <row r="272" spans="1:4" x14ac:dyDescent="0.25">
      <c r="A272" s="258"/>
      <c r="B272" s="121"/>
      <c r="C272" s="122"/>
      <c r="D272" s="70"/>
    </row>
    <row r="273" spans="1:4" x14ac:dyDescent="0.25">
      <c r="A273" s="258"/>
      <c r="B273" s="121"/>
      <c r="C273" s="122"/>
      <c r="D273" s="70"/>
    </row>
    <row r="274" spans="1:4" x14ac:dyDescent="0.25">
      <c r="A274" s="124" t="s">
        <v>58</v>
      </c>
      <c r="B274" s="123"/>
      <c r="C274" s="123"/>
      <c r="D274" s="70">
        <f>SUM(D263:D273)</f>
        <v>44000</v>
      </c>
    </row>
    <row r="275" spans="1:4" x14ac:dyDescent="0.25">
      <c r="A275" s="126" t="s">
        <v>3</v>
      </c>
      <c r="B275" s="126" t="s">
        <v>150</v>
      </c>
      <c r="C275" s="126" t="s">
        <v>151</v>
      </c>
      <c r="D275" s="126" t="s">
        <v>165</v>
      </c>
    </row>
    <row r="276" spans="1:4" x14ac:dyDescent="0.25">
      <c r="A276" s="258">
        <v>22</v>
      </c>
      <c r="B276" s="121"/>
      <c r="C276" s="122"/>
      <c r="D276" s="70"/>
    </row>
    <row r="277" spans="1:4" x14ac:dyDescent="0.25">
      <c r="A277" s="258"/>
      <c r="B277" s="121"/>
      <c r="C277" s="122"/>
      <c r="D277" s="70"/>
    </row>
    <row r="278" spans="1:4" x14ac:dyDescent="0.25">
      <c r="A278" s="258"/>
      <c r="B278" s="121"/>
      <c r="C278" s="122"/>
      <c r="D278" s="70"/>
    </row>
    <row r="279" spans="1:4" x14ac:dyDescent="0.25">
      <c r="A279" s="258"/>
      <c r="B279" s="121"/>
      <c r="C279" s="122"/>
      <c r="D279" s="70"/>
    </row>
    <row r="280" spans="1:4" x14ac:dyDescent="0.25">
      <c r="A280" s="258"/>
      <c r="B280" s="121"/>
      <c r="C280" s="122"/>
      <c r="D280" s="70"/>
    </row>
    <row r="281" spans="1:4" x14ac:dyDescent="0.25">
      <c r="A281" s="258"/>
      <c r="B281" s="121"/>
      <c r="C281" s="122"/>
      <c r="D281" s="70"/>
    </row>
    <row r="282" spans="1:4" x14ac:dyDescent="0.25">
      <c r="A282" s="258"/>
      <c r="B282" s="121"/>
      <c r="C282" s="122"/>
      <c r="D282" s="70"/>
    </row>
    <row r="283" spans="1:4" x14ac:dyDescent="0.25">
      <c r="A283" s="258"/>
      <c r="B283" s="121"/>
      <c r="C283" s="122"/>
      <c r="D283" s="70"/>
    </row>
    <row r="284" spans="1:4" x14ac:dyDescent="0.25">
      <c r="A284" s="258"/>
      <c r="B284" s="121"/>
      <c r="C284" s="122"/>
      <c r="D284" s="70"/>
    </row>
    <row r="285" spans="1:4" x14ac:dyDescent="0.25">
      <c r="A285" s="258"/>
      <c r="B285" s="121"/>
      <c r="C285" s="122"/>
      <c r="D285" s="70"/>
    </row>
    <row r="286" spans="1:4" x14ac:dyDescent="0.25">
      <c r="A286" s="258"/>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8">
        <v>23</v>
      </c>
      <c r="B289" s="121"/>
      <c r="C289" s="122"/>
      <c r="D289" s="70"/>
    </row>
    <row r="290" spans="1:4" x14ac:dyDescent="0.25">
      <c r="A290" s="258"/>
      <c r="B290" s="121"/>
      <c r="C290" s="122"/>
      <c r="D290" s="70"/>
    </row>
    <row r="291" spans="1:4" x14ac:dyDescent="0.25">
      <c r="A291" s="258"/>
      <c r="B291" s="121"/>
      <c r="C291" s="122"/>
      <c r="D291" s="70"/>
    </row>
    <row r="292" spans="1:4" x14ac:dyDescent="0.25">
      <c r="A292" s="258"/>
      <c r="B292" s="121"/>
      <c r="C292" s="122"/>
      <c r="D292" s="70"/>
    </row>
    <row r="293" spans="1:4" x14ac:dyDescent="0.25">
      <c r="A293" s="258"/>
      <c r="B293" s="121"/>
      <c r="C293" s="122"/>
      <c r="D293" s="70"/>
    </row>
    <row r="294" spans="1:4" x14ac:dyDescent="0.25">
      <c r="A294" s="258"/>
      <c r="B294" s="121"/>
      <c r="C294" s="122"/>
      <c r="D294" s="70"/>
    </row>
    <row r="295" spans="1:4" x14ac:dyDescent="0.25">
      <c r="A295" s="258"/>
      <c r="B295" s="121"/>
      <c r="C295" s="122"/>
      <c r="D295" s="70"/>
    </row>
    <row r="296" spans="1:4" x14ac:dyDescent="0.25">
      <c r="A296" s="258"/>
      <c r="B296" s="121"/>
      <c r="C296" s="122"/>
      <c r="D296" s="70"/>
    </row>
    <row r="297" spans="1:4" x14ac:dyDescent="0.25">
      <c r="A297" s="258"/>
      <c r="B297" s="121"/>
      <c r="C297" s="122"/>
      <c r="D297" s="70"/>
    </row>
    <row r="298" spans="1:4" x14ac:dyDescent="0.25">
      <c r="A298" s="258"/>
      <c r="B298" s="121"/>
      <c r="C298" s="122"/>
      <c r="D298" s="70"/>
    </row>
    <row r="299" spans="1:4" x14ac:dyDescent="0.25">
      <c r="A299" s="258"/>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8">
        <v>24</v>
      </c>
      <c r="B302" s="121" t="s">
        <v>215</v>
      </c>
      <c r="C302" s="122" t="s">
        <v>56</v>
      </c>
      <c r="D302" s="70">
        <v>24000</v>
      </c>
    </row>
    <row r="303" spans="1:4" x14ac:dyDescent="0.25">
      <c r="A303" s="258"/>
      <c r="B303" s="121"/>
      <c r="C303" s="122"/>
      <c r="D303" s="70"/>
    </row>
    <row r="304" spans="1:4" x14ac:dyDescent="0.25">
      <c r="A304" s="258"/>
      <c r="B304" s="121"/>
      <c r="C304" s="122"/>
      <c r="D304" s="70"/>
    </row>
    <row r="305" spans="1:4" x14ac:dyDescent="0.25">
      <c r="A305" s="258"/>
      <c r="B305" s="121"/>
      <c r="C305" s="122"/>
      <c r="D305" s="70"/>
    </row>
    <row r="306" spans="1:4" x14ac:dyDescent="0.25">
      <c r="A306" s="258"/>
      <c r="B306" s="121"/>
      <c r="C306" s="122"/>
      <c r="D306" s="70"/>
    </row>
    <row r="307" spans="1:4" x14ac:dyDescent="0.25">
      <c r="A307" s="258"/>
      <c r="B307" s="121"/>
      <c r="C307" s="122"/>
      <c r="D307" s="70"/>
    </row>
    <row r="308" spans="1:4" x14ac:dyDescent="0.25">
      <c r="A308" s="258"/>
      <c r="B308" s="121"/>
      <c r="C308" s="122"/>
      <c r="D308" s="70"/>
    </row>
    <row r="309" spans="1:4" x14ac:dyDescent="0.25">
      <c r="A309" s="258"/>
      <c r="B309" s="121"/>
      <c r="C309" s="122"/>
      <c r="D309" s="70"/>
    </row>
    <row r="310" spans="1:4" x14ac:dyDescent="0.25">
      <c r="A310" s="258"/>
      <c r="B310" s="121"/>
      <c r="C310" s="122"/>
      <c r="D310" s="70"/>
    </row>
    <row r="311" spans="1:4" x14ac:dyDescent="0.25">
      <c r="A311" s="258"/>
      <c r="B311" s="121"/>
      <c r="C311" s="122"/>
      <c r="D311" s="70"/>
    </row>
    <row r="312" spans="1:4" x14ac:dyDescent="0.25">
      <c r="A312" s="258"/>
      <c r="B312" s="121"/>
      <c r="C312" s="122"/>
      <c r="D312" s="70"/>
    </row>
    <row r="313" spans="1:4" x14ac:dyDescent="0.25">
      <c r="A313" s="124" t="s">
        <v>58</v>
      </c>
      <c r="B313" s="123"/>
      <c r="C313" s="123"/>
      <c r="D313" s="70">
        <f>SUM(D302:D312)</f>
        <v>24000</v>
      </c>
    </row>
    <row r="314" spans="1:4" x14ac:dyDescent="0.25">
      <c r="A314" s="126" t="s">
        <v>3</v>
      </c>
      <c r="B314" s="126" t="s">
        <v>150</v>
      </c>
      <c r="C314" s="126" t="s">
        <v>151</v>
      </c>
      <c r="D314" s="126" t="s">
        <v>165</v>
      </c>
    </row>
    <row r="315" spans="1:4" x14ac:dyDescent="0.25">
      <c r="A315" s="258">
        <v>25</v>
      </c>
      <c r="B315" s="121"/>
      <c r="C315" s="122"/>
      <c r="D315" s="70"/>
    </row>
    <row r="316" spans="1:4" x14ac:dyDescent="0.25">
      <c r="A316" s="258"/>
      <c r="B316" s="121"/>
      <c r="C316" s="122"/>
      <c r="D316" s="70"/>
    </row>
    <row r="317" spans="1:4" x14ac:dyDescent="0.25">
      <c r="A317" s="258"/>
      <c r="B317" s="121"/>
      <c r="C317" s="122"/>
      <c r="D317" s="70"/>
    </row>
    <row r="318" spans="1:4" x14ac:dyDescent="0.25">
      <c r="A318" s="258"/>
      <c r="B318" s="121"/>
      <c r="C318" s="122"/>
      <c r="D318" s="70"/>
    </row>
    <row r="319" spans="1:4" x14ac:dyDescent="0.25">
      <c r="A319" s="258"/>
      <c r="B319" s="121"/>
      <c r="C319" s="122"/>
      <c r="D319" s="70"/>
    </row>
    <row r="320" spans="1:4" x14ac:dyDescent="0.25">
      <c r="A320" s="258"/>
      <c r="B320" s="121"/>
      <c r="C320" s="122"/>
      <c r="D320" s="70"/>
    </row>
    <row r="321" spans="1:4" x14ac:dyDescent="0.25">
      <c r="A321" s="258"/>
      <c r="B321" s="121"/>
      <c r="C321" s="122"/>
      <c r="D321" s="70"/>
    </row>
    <row r="322" spans="1:4" x14ac:dyDescent="0.25">
      <c r="A322" s="258"/>
      <c r="B322" s="121"/>
      <c r="C322" s="122"/>
      <c r="D322" s="70"/>
    </row>
    <row r="323" spans="1:4" x14ac:dyDescent="0.25">
      <c r="A323" s="258"/>
      <c r="B323" s="121"/>
      <c r="C323" s="122"/>
      <c r="D323" s="70"/>
    </row>
    <row r="324" spans="1:4" x14ac:dyDescent="0.25">
      <c r="A324" s="258"/>
      <c r="B324" s="121"/>
      <c r="C324" s="122"/>
      <c r="D324" s="70"/>
    </row>
    <row r="325" spans="1:4" x14ac:dyDescent="0.25">
      <c r="A325" s="258"/>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8">
        <v>26</v>
      </c>
      <c r="B328" s="121" t="s">
        <v>156</v>
      </c>
      <c r="C328" s="122" t="s">
        <v>152</v>
      </c>
      <c r="D328" s="70">
        <v>32000</v>
      </c>
    </row>
    <row r="329" spans="1:4" x14ac:dyDescent="0.25">
      <c r="A329" s="258"/>
      <c r="B329" s="121" t="s">
        <v>156</v>
      </c>
      <c r="C329" s="122" t="s">
        <v>56</v>
      </c>
      <c r="D329" s="70">
        <v>24000</v>
      </c>
    </row>
    <row r="330" spans="1:4" x14ac:dyDescent="0.25">
      <c r="A330" s="258"/>
      <c r="B330" s="121"/>
      <c r="C330" s="122"/>
      <c r="D330" s="70"/>
    </row>
    <row r="331" spans="1:4" x14ac:dyDescent="0.25">
      <c r="A331" s="258"/>
      <c r="B331" s="121"/>
      <c r="C331" s="122"/>
      <c r="D331" s="70"/>
    </row>
    <row r="332" spans="1:4" x14ac:dyDescent="0.25">
      <c r="A332" s="258"/>
      <c r="B332" s="121"/>
      <c r="C332" s="122"/>
      <c r="D332" s="70"/>
    </row>
    <row r="333" spans="1:4" x14ac:dyDescent="0.25">
      <c r="A333" s="258"/>
      <c r="B333" s="121"/>
      <c r="C333" s="122"/>
      <c r="D333" s="70"/>
    </row>
    <row r="334" spans="1:4" x14ac:dyDescent="0.25">
      <c r="A334" s="258"/>
      <c r="B334" s="121"/>
      <c r="C334" s="122"/>
      <c r="D334" s="70"/>
    </row>
    <row r="335" spans="1:4" x14ac:dyDescent="0.25">
      <c r="A335" s="258"/>
      <c r="B335" s="121"/>
      <c r="C335" s="122"/>
      <c r="D335" s="70"/>
    </row>
    <row r="336" spans="1:4" x14ac:dyDescent="0.25">
      <c r="A336" s="258"/>
      <c r="B336" s="121"/>
      <c r="C336" s="122"/>
      <c r="D336" s="70"/>
    </row>
    <row r="337" spans="1:4" x14ac:dyDescent="0.25">
      <c r="A337" s="258"/>
      <c r="B337" s="121"/>
      <c r="C337" s="122"/>
      <c r="D337" s="70"/>
    </row>
    <row r="338" spans="1:4" x14ac:dyDescent="0.25">
      <c r="A338" s="258"/>
      <c r="B338" s="121"/>
      <c r="C338" s="122"/>
      <c r="D338" s="70"/>
    </row>
    <row r="339" spans="1:4" x14ac:dyDescent="0.25">
      <c r="A339" s="124" t="s">
        <v>58</v>
      </c>
      <c r="B339" s="123"/>
      <c r="C339" s="123"/>
      <c r="D339" s="70">
        <f>SUM(D328:D338)</f>
        <v>56000</v>
      </c>
    </row>
    <row r="340" spans="1:4" x14ac:dyDescent="0.25">
      <c r="A340" s="126" t="s">
        <v>3</v>
      </c>
      <c r="B340" s="126" t="s">
        <v>150</v>
      </c>
      <c r="C340" s="126" t="s">
        <v>151</v>
      </c>
      <c r="D340" s="126" t="s">
        <v>165</v>
      </c>
    </row>
    <row r="341" spans="1:4" x14ac:dyDescent="0.25">
      <c r="A341" s="258">
        <v>27</v>
      </c>
      <c r="B341" s="121"/>
      <c r="C341" s="122"/>
      <c r="D341" s="70"/>
    </row>
    <row r="342" spans="1:4" x14ac:dyDescent="0.25">
      <c r="A342" s="258"/>
      <c r="B342" s="121"/>
      <c r="C342" s="122"/>
      <c r="D342" s="70"/>
    </row>
    <row r="343" spans="1:4" x14ac:dyDescent="0.25">
      <c r="A343" s="258"/>
      <c r="B343" s="121"/>
      <c r="C343" s="122"/>
      <c r="D343" s="70"/>
    </row>
    <row r="344" spans="1:4" x14ac:dyDescent="0.25">
      <c r="A344" s="258"/>
      <c r="B344" s="121"/>
      <c r="C344" s="122"/>
      <c r="D344" s="70"/>
    </row>
    <row r="345" spans="1:4" x14ac:dyDescent="0.25">
      <c r="A345" s="258"/>
      <c r="B345" s="121"/>
      <c r="C345" s="122"/>
      <c r="D345" s="70"/>
    </row>
    <row r="346" spans="1:4" x14ac:dyDescent="0.25">
      <c r="A346" s="258"/>
      <c r="B346" s="121"/>
      <c r="C346" s="122"/>
      <c r="D346" s="70"/>
    </row>
    <row r="347" spans="1:4" x14ac:dyDescent="0.25">
      <c r="A347" s="258"/>
      <c r="B347" s="121"/>
      <c r="C347" s="122"/>
      <c r="D347" s="70"/>
    </row>
    <row r="348" spans="1:4" x14ac:dyDescent="0.25">
      <c r="A348" s="258"/>
      <c r="B348" s="121"/>
      <c r="C348" s="122"/>
      <c r="D348" s="70"/>
    </row>
    <row r="349" spans="1:4" x14ac:dyDescent="0.25">
      <c r="A349" s="258"/>
      <c r="B349" s="121"/>
      <c r="C349" s="122"/>
      <c r="D349" s="70"/>
    </row>
    <row r="350" spans="1:4" x14ac:dyDescent="0.25">
      <c r="A350" s="258"/>
      <c r="B350" s="121"/>
      <c r="C350" s="122"/>
      <c r="D350" s="70"/>
    </row>
    <row r="351" spans="1:4" x14ac:dyDescent="0.25">
      <c r="A351" s="258"/>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8">
        <v>28</v>
      </c>
      <c r="B354" s="121" t="s">
        <v>217</v>
      </c>
      <c r="C354" s="122" t="s">
        <v>152</v>
      </c>
      <c r="D354" s="70">
        <v>25000</v>
      </c>
    </row>
    <row r="355" spans="1:4" x14ac:dyDescent="0.25">
      <c r="A355" s="258"/>
      <c r="B355" s="121" t="s">
        <v>156</v>
      </c>
      <c r="C355" s="122" t="s">
        <v>152</v>
      </c>
      <c r="D355" s="70">
        <v>12000</v>
      </c>
    </row>
    <row r="356" spans="1:4" x14ac:dyDescent="0.25">
      <c r="A356" s="258"/>
      <c r="B356" s="121"/>
      <c r="C356" s="122"/>
      <c r="D356" s="70"/>
    </row>
    <row r="357" spans="1:4" x14ac:dyDescent="0.25">
      <c r="A357" s="258"/>
      <c r="B357" s="121"/>
      <c r="C357" s="122"/>
      <c r="D357" s="70"/>
    </row>
    <row r="358" spans="1:4" x14ac:dyDescent="0.25">
      <c r="A358" s="258"/>
      <c r="B358" s="121"/>
      <c r="C358" s="122"/>
      <c r="D358" s="70"/>
    </row>
    <row r="359" spans="1:4" x14ac:dyDescent="0.25">
      <c r="A359" s="258"/>
      <c r="B359" s="121"/>
      <c r="C359" s="122"/>
      <c r="D359" s="70"/>
    </row>
    <row r="360" spans="1:4" x14ac:dyDescent="0.25">
      <c r="A360" s="258"/>
      <c r="B360" s="121"/>
      <c r="C360" s="122"/>
      <c r="D360" s="70"/>
    </row>
    <row r="361" spans="1:4" x14ac:dyDescent="0.25">
      <c r="A361" s="258"/>
      <c r="B361" s="121"/>
      <c r="C361" s="122"/>
      <c r="D361" s="70"/>
    </row>
    <row r="362" spans="1:4" x14ac:dyDescent="0.25">
      <c r="A362" s="258"/>
      <c r="B362" s="121"/>
      <c r="C362" s="122"/>
      <c r="D362" s="70"/>
    </row>
    <row r="363" spans="1:4" x14ac:dyDescent="0.25">
      <c r="A363" s="258"/>
      <c r="B363" s="121"/>
      <c r="C363" s="122"/>
      <c r="D363" s="70"/>
    </row>
    <row r="364" spans="1:4" x14ac:dyDescent="0.25">
      <c r="A364" s="258"/>
      <c r="B364" s="121"/>
      <c r="C364" s="122"/>
      <c r="D364" s="70"/>
    </row>
    <row r="365" spans="1:4" x14ac:dyDescent="0.25">
      <c r="A365" s="124" t="s">
        <v>58</v>
      </c>
      <c r="B365" s="123"/>
      <c r="C365" s="123"/>
      <c r="D365" s="70">
        <f>SUM(D354:D364)</f>
        <v>37000</v>
      </c>
    </row>
    <row r="366" spans="1:4" x14ac:dyDescent="0.25">
      <c r="A366" s="126" t="s">
        <v>3</v>
      </c>
      <c r="B366" s="126" t="s">
        <v>150</v>
      </c>
      <c r="C366" s="126" t="s">
        <v>151</v>
      </c>
      <c r="D366" s="126" t="s">
        <v>165</v>
      </c>
    </row>
    <row r="367" spans="1:4" x14ac:dyDescent="0.25">
      <c r="A367" s="258">
        <v>29</v>
      </c>
      <c r="B367" s="121"/>
      <c r="C367" s="122"/>
      <c r="D367" s="70"/>
    </row>
    <row r="368" spans="1:4" x14ac:dyDescent="0.25">
      <c r="A368" s="258"/>
      <c r="B368" s="121"/>
      <c r="C368" s="122"/>
      <c r="D368" s="70"/>
    </row>
    <row r="369" spans="1:4" x14ac:dyDescent="0.25">
      <c r="A369" s="258"/>
      <c r="B369" s="121"/>
      <c r="C369" s="122"/>
      <c r="D369" s="70"/>
    </row>
    <row r="370" spans="1:4" x14ac:dyDescent="0.25">
      <c r="A370" s="258"/>
      <c r="B370" s="121"/>
      <c r="C370" s="122"/>
      <c r="D370" s="70"/>
    </row>
    <row r="371" spans="1:4" x14ac:dyDescent="0.25">
      <c r="A371" s="258"/>
      <c r="B371" s="121"/>
      <c r="C371" s="122"/>
      <c r="D371" s="70"/>
    </row>
    <row r="372" spans="1:4" x14ac:dyDescent="0.25">
      <c r="A372" s="258"/>
      <c r="B372" s="121"/>
      <c r="C372" s="122"/>
      <c r="D372" s="70"/>
    </row>
    <row r="373" spans="1:4" x14ac:dyDescent="0.25">
      <c r="A373" s="258"/>
      <c r="B373" s="121"/>
      <c r="C373" s="122"/>
      <c r="D373" s="70"/>
    </row>
    <row r="374" spans="1:4" x14ac:dyDescent="0.25">
      <c r="A374" s="258"/>
      <c r="B374" s="121"/>
      <c r="C374" s="122"/>
      <c r="D374" s="70"/>
    </row>
    <row r="375" spans="1:4" x14ac:dyDescent="0.25">
      <c r="A375" s="258"/>
      <c r="B375" s="121"/>
      <c r="C375" s="122"/>
      <c r="D375" s="70"/>
    </row>
    <row r="376" spans="1:4" x14ac:dyDescent="0.25">
      <c r="A376" s="258"/>
      <c r="B376" s="121"/>
      <c r="C376" s="122"/>
      <c r="D376" s="70"/>
    </row>
    <row r="377" spans="1:4" x14ac:dyDescent="0.25">
      <c r="A377" s="258"/>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8">
        <v>30</v>
      </c>
      <c r="B380" s="121"/>
      <c r="C380" s="122"/>
      <c r="D380" s="70"/>
    </row>
    <row r="381" spans="1:4" x14ac:dyDescent="0.25">
      <c r="A381" s="258"/>
      <c r="B381" s="121"/>
      <c r="C381" s="122"/>
      <c r="D381" s="70"/>
    </row>
    <row r="382" spans="1:4" x14ac:dyDescent="0.25">
      <c r="A382" s="258"/>
      <c r="B382" s="121"/>
      <c r="C382" s="122"/>
      <c r="D382" s="70"/>
    </row>
    <row r="383" spans="1:4" x14ac:dyDescent="0.25">
      <c r="A383" s="258"/>
      <c r="B383" s="121"/>
      <c r="C383" s="122"/>
      <c r="D383" s="70"/>
    </row>
    <row r="384" spans="1:4" x14ac:dyDescent="0.25">
      <c r="A384" s="258"/>
      <c r="B384" s="121"/>
      <c r="C384" s="122"/>
      <c r="D384" s="70"/>
    </row>
    <row r="385" spans="1:4" x14ac:dyDescent="0.25">
      <c r="A385" s="258"/>
      <c r="B385" s="121"/>
      <c r="C385" s="122"/>
      <c r="D385" s="70"/>
    </row>
    <row r="386" spans="1:4" x14ac:dyDescent="0.25">
      <c r="A386" s="258"/>
      <c r="B386" s="121"/>
      <c r="C386" s="122"/>
      <c r="D386" s="70"/>
    </row>
    <row r="387" spans="1:4" x14ac:dyDescent="0.25">
      <c r="A387" s="258"/>
      <c r="B387" s="121"/>
      <c r="C387" s="122"/>
      <c r="D387" s="70"/>
    </row>
    <row r="388" spans="1:4" x14ac:dyDescent="0.25">
      <c r="A388" s="258"/>
      <c r="B388" s="121"/>
      <c r="C388" s="122"/>
      <c r="D388" s="70"/>
    </row>
    <row r="389" spans="1:4" x14ac:dyDescent="0.25">
      <c r="A389" s="258"/>
      <c r="B389" s="121"/>
      <c r="C389" s="122"/>
      <c r="D389" s="70"/>
    </row>
    <row r="390" spans="1:4" x14ac:dyDescent="0.25">
      <c r="A390" s="258"/>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8">
        <v>31</v>
      </c>
      <c r="B393" s="121"/>
      <c r="C393" s="122"/>
      <c r="D393" s="70"/>
    </row>
    <row r="394" spans="1:4" x14ac:dyDescent="0.25">
      <c r="A394" s="258"/>
      <c r="B394" s="121"/>
      <c r="C394" s="122"/>
      <c r="D394" s="70"/>
    </row>
    <row r="395" spans="1:4" x14ac:dyDescent="0.25">
      <c r="A395" s="258"/>
      <c r="B395" s="121"/>
      <c r="C395" s="122"/>
      <c r="D395" s="70"/>
    </row>
    <row r="396" spans="1:4" x14ac:dyDescent="0.25">
      <c r="A396" s="258"/>
      <c r="B396" s="121"/>
      <c r="C396" s="122"/>
      <c r="D396" s="70"/>
    </row>
    <row r="397" spans="1:4" x14ac:dyDescent="0.25">
      <c r="A397" s="258"/>
      <c r="B397" s="121"/>
      <c r="C397" s="122"/>
      <c r="D397" s="70"/>
    </row>
    <row r="398" spans="1:4" x14ac:dyDescent="0.25">
      <c r="A398" s="258"/>
      <c r="B398" s="121"/>
      <c r="C398" s="122"/>
      <c r="D398" s="70"/>
    </row>
    <row r="399" spans="1:4" x14ac:dyDescent="0.25">
      <c r="A399" s="258"/>
      <c r="B399" s="121"/>
      <c r="C399" s="122"/>
      <c r="D399" s="70"/>
    </row>
    <row r="400" spans="1:4" x14ac:dyDescent="0.25">
      <c r="A400" s="258"/>
      <c r="B400" s="121"/>
      <c r="C400" s="122"/>
      <c r="D400" s="70"/>
    </row>
    <row r="401" spans="1:4" x14ac:dyDescent="0.25">
      <c r="A401" s="258"/>
      <c r="B401" s="121"/>
      <c r="C401" s="122"/>
      <c r="D401" s="70"/>
    </row>
    <row r="402" spans="1:4" x14ac:dyDescent="0.25">
      <c r="A402" s="258"/>
      <c r="B402" s="121"/>
      <c r="C402" s="122"/>
      <c r="D402" s="70"/>
    </row>
    <row r="403" spans="1:4" x14ac:dyDescent="0.25">
      <c r="A403" s="258"/>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400500</v>
      </c>
    </row>
    <row r="408" spans="1:4" x14ac:dyDescent="0.25">
      <c r="C408" s="130" t="s">
        <v>56</v>
      </c>
      <c r="D408" s="70">
        <f>+SUMIF($C$3:$D$403,C408,$D$3:$I$407)</f>
        <v>110000</v>
      </c>
    </row>
    <row r="409" spans="1:4" x14ac:dyDescent="0.25">
      <c r="C409" s="130" t="s">
        <v>152</v>
      </c>
      <c r="D409" s="70">
        <f>+SUMIF($C$3:$D$403,C409,$D$3:$I$407)</f>
        <v>207500</v>
      </c>
    </row>
    <row r="410" spans="1:4" x14ac:dyDescent="0.25">
      <c r="C410" s="130" t="s">
        <v>153</v>
      </c>
      <c r="D410" s="70">
        <f>+SUMIF($C$3:$D$403,C410,$D$3:$I$407)</f>
        <v>67000</v>
      </c>
    </row>
    <row r="411" spans="1:4" x14ac:dyDescent="0.25">
      <c r="C411" s="130" t="s">
        <v>57</v>
      </c>
      <c r="D411" s="70">
        <f>+SUMIF($C$3:$D$403,C411,$D$3:$I$407)</f>
        <v>16000</v>
      </c>
    </row>
    <row r="412" spans="1:4" x14ac:dyDescent="0.25">
      <c r="C412" s="131" t="s">
        <v>58</v>
      </c>
      <c r="D412" s="70">
        <f>SUM(D408:D411)</f>
        <v>400500</v>
      </c>
    </row>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393:C403 C250:C260 C263:C273 C276:C286 C289:C299 C302:C312 C315:C325 C328:C338 C341:C351 C354:C364 C367:C377 C380:C390 C237:C247"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69" zoomScale="85" zoomScaleNormal="85" workbookViewId="0">
      <selection activeCell="D186" sqref="D186"/>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140625" style="142" customWidth="1"/>
    <col min="9" max="11" width="12.7109375" style="143" hidden="1" customWidth="1"/>
    <col min="12" max="12" width="15" style="143" hidden="1" customWidth="1"/>
    <col min="13" max="14" width="12.7109375" style="143" hidden="1" customWidth="1"/>
    <col min="15" max="15" width="0.14062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59"/>
      <c r="B1" s="260"/>
      <c r="C1" s="260"/>
      <c r="D1" s="260"/>
      <c r="E1" s="260"/>
      <c r="F1" s="260"/>
    </row>
    <row r="2" spans="1:30" ht="18.75" customHeight="1" x14ac:dyDescent="0.25">
      <c r="A2" s="261"/>
      <c r="B2" s="262"/>
      <c r="C2" s="262"/>
      <c r="D2" s="262"/>
      <c r="E2" s="262"/>
      <c r="F2" s="262"/>
      <c r="I2" s="144" t="s">
        <v>3</v>
      </c>
      <c r="J2" s="144" t="s">
        <v>76</v>
      </c>
      <c r="K2" s="144" t="s">
        <v>77</v>
      </c>
      <c r="L2" s="144" t="s">
        <v>78</v>
      </c>
      <c r="M2" s="144" t="s">
        <v>75</v>
      </c>
      <c r="N2" s="144" t="s">
        <v>79</v>
      </c>
      <c r="O2" s="145" t="s">
        <v>80</v>
      </c>
    </row>
    <row r="3" spans="1:30" ht="18.75" customHeight="1" x14ac:dyDescent="0.25">
      <c r="A3" s="261"/>
      <c r="B3" s="262"/>
      <c r="C3" s="262"/>
      <c r="D3" s="262"/>
      <c r="E3" s="262"/>
      <c r="F3" s="262"/>
      <c r="H3" s="146"/>
      <c r="I3" s="144"/>
      <c r="J3" s="147"/>
      <c r="K3" s="144"/>
      <c r="L3" s="148"/>
      <c r="M3" s="148"/>
      <c r="N3" s="148"/>
      <c r="O3" s="149">
        <f>F6</f>
        <v>693400</v>
      </c>
    </row>
    <row r="4" spans="1:30" ht="22.5" customHeight="1" x14ac:dyDescent="0.25">
      <c r="A4" s="263"/>
      <c r="B4" s="264"/>
      <c r="C4" s="264"/>
      <c r="D4" s="264"/>
      <c r="E4" s="264"/>
      <c r="F4" s="264"/>
      <c r="I4" s="150">
        <v>1</v>
      </c>
      <c r="J4" s="151">
        <v>1300000</v>
      </c>
      <c r="K4" s="152">
        <f>VENTAS!E10</f>
        <v>544500</v>
      </c>
      <c r="L4" s="152"/>
      <c r="M4" s="153"/>
      <c r="N4" s="154">
        <v>1300000</v>
      </c>
      <c r="O4" s="155">
        <f>O3+K4-M4-N4</f>
        <v>-62100</v>
      </c>
    </row>
    <row r="5" spans="1:30" x14ac:dyDescent="0.25">
      <c r="A5" s="156" t="s">
        <v>3</v>
      </c>
      <c r="B5" s="157"/>
      <c r="C5" s="158" t="s">
        <v>82</v>
      </c>
      <c r="D5" s="158" t="s">
        <v>83</v>
      </c>
      <c r="E5" s="158" t="s">
        <v>84</v>
      </c>
      <c r="F5" s="158" t="s">
        <v>54</v>
      </c>
      <c r="I5" s="159">
        <v>2</v>
      </c>
      <c r="J5" s="151">
        <v>1300000</v>
      </c>
      <c r="K5" s="160">
        <f>VENTAS!E13</f>
        <v>603500</v>
      </c>
      <c r="L5" s="161"/>
      <c r="M5" s="162"/>
      <c r="N5" s="154">
        <v>1300000</v>
      </c>
      <c r="O5" s="163">
        <f>+J5+K5-M5-N5</f>
        <v>603500</v>
      </c>
    </row>
    <row r="6" spans="1:30" x14ac:dyDescent="0.25">
      <c r="A6" s="301">
        <v>1</v>
      </c>
      <c r="B6" s="164" t="s">
        <v>162</v>
      </c>
      <c r="C6" s="165">
        <v>693400</v>
      </c>
      <c r="D6" s="194">
        <v>0</v>
      </c>
      <c r="E6" s="186"/>
      <c r="F6" s="186">
        <f>+C6</f>
        <v>693400</v>
      </c>
      <c r="I6" s="166">
        <v>3</v>
      </c>
      <c r="J6" s="151">
        <v>1300001</v>
      </c>
      <c r="K6" s="160">
        <f>VENTAS!E14</f>
        <v>96000</v>
      </c>
      <c r="L6" s="161"/>
      <c r="M6" s="162"/>
      <c r="N6" s="154">
        <v>1300001</v>
      </c>
      <c r="O6" s="163">
        <f t="shared" ref="O6:O37" si="0">+J6+K6-M6-N6</f>
        <v>96000</v>
      </c>
    </row>
    <row r="7" spans="1:30" x14ac:dyDescent="0.25">
      <c r="A7" s="301"/>
      <c r="B7" s="164" t="s">
        <v>91</v>
      </c>
      <c r="C7" s="165">
        <v>60000</v>
      </c>
      <c r="D7" s="165">
        <v>0</v>
      </c>
      <c r="E7" s="165">
        <v>0</v>
      </c>
      <c r="F7" s="165">
        <f>+C7-D7-E7+F6</f>
        <v>753400</v>
      </c>
      <c r="I7" s="167">
        <v>4</v>
      </c>
      <c r="J7" s="151">
        <v>1300002</v>
      </c>
      <c r="K7" s="160">
        <f>VENTAS!E15</f>
        <v>699500</v>
      </c>
      <c r="L7" s="161"/>
      <c r="M7" s="162"/>
      <c r="N7" s="154">
        <v>1300002</v>
      </c>
      <c r="O7" s="163">
        <f>+J7+K7-M7-N7</f>
        <v>699500</v>
      </c>
    </row>
    <row r="8" spans="1:30" x14ac:dyDescent="0.25">
      <c r="A8" s="301"/>
      <c r="B8" s="164" t="s">
        <v>91</v>
      </c>
      <c r="C8" s="165">
        <v>484500</v>
      </c>
      <c r="D8" s="165">
        <v>0</v>
      </c>
      <c r="E8" s="165">
        <v>0</v>
      </c>
      <c r="F8" s="165">
        <f>+C8-D8-E8+F7</f>
        <v>1237900</v>
      </c>
      <c r="I8" s="150">
        <v>5</v>
      </c>
      <c r="J8" s="151">
        <v>1300003</v>
      </c>
      <c r="K8" s="160">
        <f>VENTAS!E16</f>
        <v>705500</v>
      </c>
      <c r="L8" s="161"/>
      <c r="M8" s="162"/>
      <c r="N8" s="154">
        <v>1300003</v>
      </c>
      <c r="O8" s="163">
        <f>+J8+K8-M8-N8</f>
        <v>705500</v>
      </c>
    </row>
    <row r="9" spans="1:30" x14ac:dyDescent="0.25">
      <c r="A9" s="301"/>
      <c r="B9" s="164" t="s">
        <v>92</v>
      </c>
      <c r="C9" s="165">
        <v>0</v>
      </c>
      <c r="D9" s="165">
        <v>525800</v>
      </c>
      <c r="E9" s="165">
        <v>0</v>
      </c>
      <c r="F9" s="165">
        <f>+C9-D9-E9+F8</f>
        <v>712100</v>
      </c>
      <c r="I9" s="159">
        <v>6</v>
      </c>
      <c r="J9" s="151">
        <v>1300004</v>
      </c>
      <c r="K9" s="160">
        <f>VENTAS!E17</f>
        <v>243000</v>
      </c>
      <c r="L9" s="161"/>
      <c r="M9" s="162"/>
      <c r="N9" s="154">
        <v>1300004</v>
      </c>
      <c r="O9" s="163">
        <f>+J9+K9-M9-N9</f>
        <v>243000</v>
      </c>
    </row>
    <row r="10" spans="1:30" x14ac:dyDescent="0.25">
      <c r="A10" s="301"/>
      <c r="B10" s="164"/>
      <c r="C10" s="165">
        <v>24000</v>
      </c>
      <c r="D10" s="165">
        <v>0</v>
      </c>
      <c r="E10" s="165">
        <v>0</v>
      </c>
      <c r="F10" s="165">
        <f>+C10-D10-E10+F9</f>
        <v>736100</v>
      </c>
      <c r="I10" s="166">
        <v>7</v>
      </c>
      <c r="J10" s="151">
        <v>1300005</v>
      </c>
      <c r="K10" s="160">
        <f>VENTAS!E18</f>
        <v>948500</v>
      </c>
      <c r="L10" s="161"/>
      <c r="M10" s="162"/>
      <c r="N10" s="154">
        <v>1300005</v>
      </c>
      <c r="O10" s="163">
        <f>+J10+K10-M10-N10</f>
        <v>948500</v>
      </c>
    </row>
    <row r="11" spans="1:30" x14ac:dyDescent="0.25">
      <c r="A11" s="301"/>
      <c r="B11" s="133" t="s">
        <v>156</v>
      </c>
      <c r="C11" s="186">
        <f ca="1">+SUMIF(ACCESORIOS!C3:D13,ACCESORIOS!H2,ACCESORIOS!D3:D13)</f>
        <v>0</v>
      </c>
      <c r="D11" s="165">
        <v>0</v>
      </c>
      <c r="E11" s="165">
        <v>0</v>
      </c>
      <c r="F11" s="165">
        <f ca="1">+C11-D11-E11+F10</f>
        <v>736100</v>
      </c>
      <c r="I11" s="159">
        <v>8</v>
      </c>
      <c r="J11" s="151">
        <v>1300011</v>
      </c>
      <c r="K11" s="160">
        <f>VENTAS!E24</f>
        <v>590500</v>
      </c>
      <c r="L11" s="161"/>
      <c r="M11" s="162"/>
      <c r="N11" s="154">
        <v>1300011</v>
      </c>
      <c r="O11" s="163">
        <f t="shared" si="0"/>
        <v>590500</v>
      </c>
    </row>
    <row r="12" spans="1:30" x14ac:dyDescent="0.25">
      <c r="A12" s="168" t="s">
        <v>58</v>
      </c>
      <c r="B12" s="169"/>
      <c r="C12" s="170">
        <f ca="1">SUM(C6:C11)</f>
        <v>1261900</v>
      </c>
      <c r="D12" s="170">
        <f>SUM(D6:D11)</f>
        <v>525800</v>
      </c>
      <c r="E12" s="170">
        <f>SUM(E6:E11)</f>
        <v>0</v>
      </c>
      <c r="F12" s="170">
        <f ca="1">F11</f>
        <v>736100</v>
      </c>
      <c r="I12" s="166">
        <v>9</v>
      </c>
      <c r="J12" s="151">
        <v>1300012</v>
      </c>
      <c r="K12" s="160">
        <f>VENTAS!E25</f>
        <v>477000</v>
      </c>
      <c r="L12" s="161"/>
      <c r="M12" s="162"/>
      <c r="N12" s="154">
        <v>1300012</v>
      </c>
      <c r="O12" s="163">
        <f t="shared" si="0"/>
        <v>477000</v>
      </c>
    </row>
    <row r="13" spans="1:30" x14ac:dyDescent="0.25">
      <c r="A13" s="302">
        <v>2</v>
      </c>
      <c r="B13" s="164" t="s">
        <v>91</v>
      </c>
      <c r="C13" s="165">
        <v>99000</v>
      </c>
      <c r="D13" s="165">
        <v>0</v>
      </c>
      <c r="E13" s="165">
        <v>0</v>
      </c>
      <c r="F13" s="165">
        <f ca="1">+C13-D13-E13+F12</f>
        <v>835100</v>
      </c>
      <c r="I13" s="159">
        <v>10</v>
      </c>
      <c r="J13" s="151">
        <v>1300013</v>
      </c>
      <c r="K13" s="160">
        <f>VENTAS!E26</f>
        <v>212000</v>
      </c>
      <c r="L13" s="161"/>
      <c r="M13" s="162"/>
      <c r="N13" s="154">
        <v>1300013</v>
      </c>
      <c r="O13" s="163">
        <f t="shared" si="0"/>
        <v>212000</v>
      </c>
    </row>
    <row r="14" spans="1:30" x14ac:dyDescent="0.25">
      <c r="A14" s="303"/>
      <c r="B14" s="164" t="s">
        <v>91</v>
      </c>
      <c r="C14" s="165">
        <v>504500</v>
      </c>
      <c r="D14" s="165"/>
      <c r="E14" s="165">
        <v>0</v>
      </c>
      <c r="F14" s="165">
        <f ca="1">+C14-D14-E14+F13</f>
        <v>1339600</v>
      </c>
      <c r="I14" s="166">
        <v>11</v>
      </c>
      <c r="J14" s="151">
        <v>1300014</v>
      </c>
      <c r="K14" s="160">
        <f>VENTAS!E27</f>
        <v>689000</v>
      </c>
      <c r="L14" s="161"/>
      <c r="M14" s="162"/>
      <c r="N14" s="154">
        <v>1300014</v>
      </c>
      <c r="O14" s="163"/>
    </row>
    <row r="15" spans="1:30" x14ac:dyDescent="0.25">
      <c r="A15" s="303"/>
      <c r="B15" s="164" t="s">
        <v>92</v>
      </c>
      <c r="C15" s="165">
        <v>0</v>
      </c>
      <c r="D15" s="165">
        <v>406700</v>
      </c>
      <c r="E15" s="165">
        <v>0</v>
      </c>
      <c r="F15" s="165">
        <f ca="1">+C15-D15-E15+F14</f>
        <v>932900</v>
      </c>
      <c r="I15" s="159">
        <v>12</v>
      </c>
      <c r="J15" s="151">
        <v>1300015</v>
      </c>
      <c r="K15" s="160">
        <f>VENTAS!E28</f>
        <v>591500</v>
      </c>
      <c r="L15" s="161"/>
      <c r="M15" s="162"/>
      <c r="N15" s="154">
        <v>1300015</v>
      </c>
      <c r="O15" s="163">
        <f>+J15+K15-M15-N15</f>
        <v>591500</v>
      </c>
      <c r="AD15" s="193"/>
    </row>
    <row r="16" spans="1:30" x14ac:dyDescent="0.25">
      <c r="A16" s="303"/>
      <c r="B16" s="164" t="s">
        <v>160</v>
      </c>
      <c r="C16" s="165"/>
      <c r="D16" s="165">
        <v>600000</v>
      </c>
      <c r="E16" s="165">
        <v>0</v>
      </c>
      <c r="F16" s="165">
        <f ca="1">+C16-D16-E16+F15</f>
        <v>332900</v>
      </c>
      <c r="I16" s="166">
        <v>13</v>
      </c>
      <c r="J16" s="151">
        <v>1300016</v>
      </c>
      <c r="K16" s="160">
        <f>VENTAS!E29</f>
        <v>427000</v>
      </c>
      <c r="L16" s="161"/>
      <c r="M16" s="162"/>
      <c r="N16" s="154">
        <v>1300016</v>
      </c>
      <c r="O16" s="163"/>
      <c r="AD16" s="193"/>
    </row>
    <row r="17" spans="1:30" x14ac:dyDescent="0.25">
      <c r="A17" s="304"/>
      <c r="B17" s="133" t="s">
        <v>156</v>
      </c>
      <c r="C17" s="186">
        <f ca="1">+SUMIF(ACCESORIOS!C16:D26,ACCESORIOS!H2,ACCESORIOS!D16:D26)</f>
        <v>0</v>
      </c>
      <c r="D17" s="165">
        <v>110000</v>
      </c>
      <c r="E17" s="165">
        <v>0</v>
      </c>
      <c r="F17" s="165">
        <f ca="1">+C17-D17-E17+F16</f>
        <v>222900</v>
      </c>
      <c r="I17" s="159">
        <v>14</v>
      </c>
      <c r="J17" s="151">
        <v>1300017</v>
      </c>
      <c r="K17" s="160">
        <f>VENTAS!E30</f>
        <v>1018500</v>
      </c>
      <c r="L17" s="161"/>
      <c r="M17" s="162"/>
      <c r="N17" s="154">
        <v>1300017</v>
      </c>
      <c r="O17" s="163">
        <f>+J17+K17-M17-N17</f>
        <v>1018500</v>
      </c>
      <c r="AD17" s="193" t="s">
        <v>85</v>
      </c>
    </row>
    <row r="18" spans="1:30" x14ac:dyDescent="0.25">
      <c r="A18" s="171" t="s">
        <v>58</v>
      </c>
      <c r="B18" s="169"/>
      <c r="C18" s="170">
        <f ca="1">SUM(C13:C17)</f>
        <v>603500</v>
      </c>
      <c r="D18" s="170">
        <f>SUM(D13:D17)</f>
        <v>1116700</v>
      </c>
      <c r="E18" s="170">
        <f>SUM(E13:E17)</f>
        <v>0</v>
      </c>
      <c r="F18" s="170">
        <f ca="1">F17</f>
        <v>222900</v>
      </c>
      <c r="I18" s="166">
        <v>15</v>
      </c>
      <c r="J18" s="151">
        <v>1300018</v>
      </c>
      <c r="K18" s="160">
        <f>VENTAS!E31</f>
        <v>451000</v>
      </c>
      <c r="L18" s="161"/>
      <c r="M18" s="162"/>
      <c r="N18" s="154">
        <v>1300018</v>
      </c>
      <c r="O18" s="163">
        <f t="shared" si="0"/>
        <v>451000</v>
      </c>
      <c r="AD18" s="193" t="s">
        <v>86</v>
      </c>
    </row>
    <row r="19" spans="1:30" x14ac:dyDescent="0.25">
      <c r="A19" s="305">
        <v>3</v>
      </c>
      <c r="B19" s="164" t="s">
        <v>91</v>
      </c>
      <c r="C19" s="165">
        <v>248000</v>
      </c>
      <c r="D19" s="165">
        <v>0</v>
      </c>
      <c r="E19" s="165">
        <v>0</v>
      </c>
      <c r="F19" s="165">
        <f ca="1">+C19-D19-E19+F18</f>
        <v>470900</v>
      </c>
      <c r="I19" s="159">
        <v>16</v>
      </c>
      <c r="J19" s="151">
        <v>1300019</v>
      </c>
      <c r="K19" s="160">
        <f>VENTAS!E32</f>
        <v>131500</v>
      </c>
      <c r="L19" s="161"/>
      <c r="M19" s="162"/>
      <c r="N19" s="154">
        <v>1300019</v>
      </c>
      <c r="O19" s="163">
        <f t="shared" si="0"/>
        <v>131500</v>
      </c>
      <c r="AD19" s="193" t="s">
        <v>87</v>
      </c>
    </row>
    <row r="20" spans="1:30" x14ac:dyDescent="0.25">
      <c r="A20" s="306"/>
      <c r="B20" s="164" t="s">
        <v>91</v>
      </c>
      <c r="C20" s="165">
        <v>457500</v>
      </c>
      <c r="D20" s="165">
        <v>0</v>
      </c>
      <c r="E20" s="165">
        <v>0</v>
      </c>
      <c r="F20" s="165">
        <f ca="1">+C20-D20-E20+F19</f>
        <v>928400</v>
      </c>
      <c r="I20" s="166">
        <v>17</v>
      </c>
      <c r="J20" s="151">
        <v>1300020</v>
      </c>
      <c r="K20" s="160">
        <f>VENTAS!E33</f>
        <v>582500</v>
      </c>
      <c r="L20" s="161"/>
      <c r="M20" s="162"/>
      <c r="N20" s="154">
        <v>1300020</v>
      </c>
      <c r="O20" s="163"/>
      <c r="AD20" s="193" t="s">
        <v>88</v>
      </c>
    </row>
    <row r="21" spans="1:30" x14ac:dyDescent="0.25">
      <c r="A21" s="306"/>
      <c r="B21" s="164" t="s">
        <v>92</v>
      </c>
      <c r="C21" s="165">
        <v>0</v>
      </c>
      <c r="D21" s="165">
        <v>363200</v>
      </c>
      <c r="E21" s="165">
        <v>0</v>
      </c>
      <c r="F21" s="165">
        <f ca="1">+C21-D21-E21+F20</f>
        <v>565200</v>
      </c>
      <c r="I21" s="159">
        <v>18</v>
      </c>
      <c r="J21" s="151">
        <v>1300021</v>
      </c>
      <c r="K21" s="160">
        <f>VENTAS!E34</f>
        <v>570000</v>
      </c>
      <c r="L21" s="161"/>
      <c r="M21" s="162"/>
      <c r="N21" s="154">
        <v>1300021</v>
      </c>
      <c r="O21" s="163"/>
      <c r="AD21" s="193"/>
    </row>
    <row r="22" spans="1:30" x14ac:dyDescent="0.25">
      <c r="A22" s="306"/>
      <c r="B22" s="164"/>
      <c r="C22" s="165">
        <v>1100</v>
      </c>
      <c r="D22" s="165">
        <v>0</v>
      </c>
      <c r="E22" s="165">
        <v>0</v>
      </c>
      <c r="F22" s="165">
        <f ca="1">+C22-D22-E22+F21</f>
        <v>566300</v>
      </c>
      <c r="I22" s="166">
        <v>19</v>
      </c>
      <c r="J22" s="151">
        <v>1300022</v>
      </c>
      <c r="K22" s="160">
        <f>VENTAS!E35</f>
        <v>43000</v>
      </c>
      <c r="L22" s="161"/>
      <c r="M22" s="162"/>
      <c r="N22" s="154">
        <v>1300022</v>
      </c>
      <c r="O22" s="163">
        <f t="shared" si="0"/>
        <v>43000</v>
      </c>
      <c r="AD22" s="193" t="s">
        <v>89</v>
      </c>
    </row>
    <row r="23" spans="1:30" x14ac:dyDescent="0.25">
      <c r="A23" s="307"/>
      <c r="B23" s="133" t="s">
        <v>156</v>
      </c>
      <c r="C23" s="186">
        <f ca="1">+SUMIF(ACCESORIOS!C29:D39,ACCESORIOS!H2,ACCESORIOS!D29:D39)</f>
        <v>0</v>
      </c>
      <c r="D23" s="165">
        <v>0</v>
      </c>
      <c r="E23" s="165">
        <v>0</v>
      </c>
      <c r="F23" s="165">
        <f ca="1">+C23-D23-E23+F22</f>
        <v>566300</v>
      </c>
      <c r="I23" s="159">
        <v>20</v>
      </c>
      <c r="J23" s="151">
        <v>1300023</v>
      </c>
      <c r="K23" s="160">
        <f>VENTAS!E36</f>
        <v>613000</v>
      </c>
      <c r="L23" s="161"/>
      <c r="M23" s="162"/>
      <c r="N23" s="154">
        <v>1300023</v>
      </c>
      <c r="O23" s="163">
        <f t="shared" si="0"/>
        <v>613000</v>
      </c>
      <c r="AD23" s="193" t="s">
        <v>90</v>
      </c>
    </row>
    <row r="24" spans="1:30" x14ac:dyDescent="0.25">
      <c r="A24" s="172" t="s">
        <v>58</v>
      </c>
      <c r="B24" s="169"/>
      <c r="C24" s="170">
        <f ca="1">SUM(C19:C23)</f>
        <v>706600</v>
      </c>
      <c r="D24" s="170">
        <f>SUM(D19:D23)</f>
        <v>363200</v>
      </c>
      <c r="E24" s="170">
        <f>SUM(E19:E23)</f>
        <v>0</v>
      </c>
      <c r="F24" s="170">
        <f ca="1">F23</f>
        <v>566300</v>
      </c>
      <c r="I24" s="166">
        <v>21</v>
      </c>
      <c r="J24" s="151">
        <v>1300024</v>
      </c>
      <c r="K24" s="160">
        <f>VENTAS!E37</f>
        <v>598000</v>
      </c>
      <c r="L24" s="161"/>
      <c r="M24" s="162"/>
      <c r="N24" s="154">
        <v>1300024</v>
      </c>
      <c r="O24" s="163">
        <f t="shared" si="0"/>
        <v>598000</v>
      </c>
      <c r="AD24" s="193" t="s">
        <v>160</v>
      </c>
    </row>
    <row r="25" spans="1:30" x14ac:dyDescent="0.25">
      <c r="A25" s="295">
        <v>4</v>
      </c>
      <c r="B25" s="164" t="s">
        <v>91</v>
      </c>
      <c r="C25" s="165">
        <v>297000</v>
      </c>
      <c r="D25" s="165">
        <v>0</v>
      </c>
      <c r="E25" s="165">
        <v>0</v>
      </c>
      <c r="F25" s="165">
        <f ca="1">+C25-D25-E25+F24</f>
        <v>863300</v>
      </c>
      <c r="I25" s="159">
        <v>22</v>
      </c>
      <c r="J25" s="151">
        <v>1300025</v>
      </c>
      <c r="K25" s="160">
        <f>VENTAS!E38</f>
        <v>296500</v>
      </c>
      <c r="L25" s="161"/>
      <c r="M25" s="162"/>
      <c r="N25" s="154">
        <v>1300025</v>
      </c>
      <c r="O25" s="163">
        <f t="shared" si="0"/>
        <v>296500</v>
      </c>
      <c r="AD25" s="193" t="s">
        <v>161</v>
      </c>
    </row>
    <row r="26" spans="1:30" x14ac:dyDescent="0.25">
      <c r="A26" s="296"/>
      <c r="B26" s="164" t="s">
        <v>91</v>
      </c>
      <c r="C26" s="165">
        <v>105000</v>
      </c>
      <c r="D26" s="165">
        <v>0</v>
      </c>
      <c r="E26" s="165">
        <v>0</v>
      </c>
      <c r="F26" s="165">
        <f ca="1">+C26-D26-E26+F25</f>
        <v>968300</v>
      </c>
      <c r="I26" s="166">
        <v>23</v>
      </c>
      <c r="J26" s="151">
        <v>1300026</v>
      </c>
      <c r="K26" s="160">
        <f>VENTAS!E39</f>
        <v>894500</v>
      </c>
      <c r="L26" s="161"/>
      <c r="M26" s="162"/>
      <c r="N26" s="154">
        <v>1300026</v>
      </c>
      <c r="O26" s="163"/>
      <c r="AD26" s="193" t="s">
        <v>162</v>
      </c>
    </row>
    <row r="27" spans="1:30" x14ac:dyDescent="0.25">
      <c r="A27" s="296"/>
      <c r="B27" s="164" t="s">
        <v>92</v>
      </c>
      <c r="C27" s="165">
        <v>0</v>
      </c>
      <c r="D27" s="165">
        <v>349300</v>
      </c>
      <c r="E27" s="165">
        <v>0</v>
      </c>
      <c r="F27" s="165">
        <f ca="1">+C27-D27-E27+F26</f>
        <v>619000</v>
      </c>
      <c r="I27" s="159">
        <v>24</v>
      </c>
      <c r="J27" s="151">
        <v>1300027</v>
      </c>
      <c r="K27" s="160">
        <f>VENTAS!E40</f>
        <v>346000</v>
      </c>
      <c r="L27" s="161"/>
      <c r="M27" s="162"/>
      <c r="N27" s="154">
        <v>1300027</v>
      </c>
      <c r="O27" s="163"/>
      <c r="AD27" s="193"/>
    </row>
    <row r="28" spans="1:30" x14ac:dyDescent="0.25">
      <c r="A28" s="296"/>
      <c r="B28" s="164" t="s">
        <v>160</v>
      </c>
      <c r="C28" s="165">
        <v>0</v>
      </c>
      <c r="D28" s="165">
        <v>100000</v>
      </c>
      <c r="E28" s="165">
        <v>0</v>
      </c>
      <c r="F28" s="165">
        <f ca="1">+C28-D28-E28+F27</f>
        <v>519000</v>
      </c>
      <c r="I28" s="166">
        <v>25</v>
      </c>
      <c r="J28" s="151">
        <v>1300028</v>
      </c>
      <c r="K28" s="160">
        <f>VENTAS!E41</f>
        <v>199000</v>
      </c>
      <c r="L28" s="161"/>
      <c r="M28" s="162"/>
      <c r="N28" s="154">
        <v>1300028</v>
      </c>
      <c r="O28" s="163">
        <f t="shared" si="0"/>
        <v>199000</v>
      </c>
      <c r="AD28" s="193" t="s">
        <v>91</v>
      </c>
    </row>
    <row r="29" spans="1:30" x14ac:dyDescent="0.25">
      <c r="A29" s="297"/>
      <c r="B29" s="133" t="s">
        <v>156</v>
      </c>
      <c r="C29" s="186">
        <f ca="1">+SUMIF(ACCESORIOS!C42:D52,ACCESORIOS!H2,ACCESORIOS!D42:D52)</f>
        <v>0</v>
      </c>
      <c r="D29" s="165">
        <v>0</v>
      </c>
      <c r="E29" s="165">
        <v>0</v>
      </c>
      <c r="F29" s="165">
        <f ca="1">+C29-D29-E29+F28</f>
        <v>519000</v>
      </c>
      <c r="I29" s="159">
        <v>26</v>
      </c>
      <c r="J29" s="173">
        <v>1300000</v>
      </c>
      <c r="K29" s="174">
        <f>VENTAS!E82</f>
        <v>406500</v>
      </c>
      <c r="L29" s="175"/>
      <c r="M29" s="175"/>
      <c r="N29" s="154">
        <v>1300000</v>
      </c>
      <c r="O29" s="163">
        <f t="shared" si="0"/>
        <v>406500</v>
      </c>
      <c r="AD29" s="193" t="s">
        <v>92</v>
      </c>
    </row>
    <row r="30" spans="1:30" x14ac:dyDescent="0.25">
      <c r="A30" s="172" t="s">
        <v>58</v>
      </c>
      <c r="B30" s="169"/>
      <c r="C30" s="170">
        <f ca="1">SUM(C25:C29)</f>
        <v>402000</v>
      </c>
      <c r="D30" s="170">
        <f>SUM(D25:D29)</f>
        <v>449300</v>
      </c>
      <c r="E30" s="170">
        <f>SUM(E25:E29)</f>
        <v>0</v>
      </c>
      <c r="F30" s="170">
        <f ca="1">F29</f>
        <v>519000</v>
      </c>
      <c r="I30" s="166">
        <v>27</v>
      </c>
      <c r="J30" s="173">
        <v>1300001</v>
      </c>
      <c r="K30" s="174">
        <f>VENTAS!E83</f>
        <v>239000</v>
      </c>
      <c r="L30" s="175"/>
      <c r="M30" s="175"/>
      <c r="N30" s="154">
        <v>1300001</v>
      </c>
      <c r="O30" s="163">
        <f t="shared" si="0"/>
        <v>239000</v>
      </c>
      <c r="AD30" s="193" t="s">
        <v>157</v>
      </c>
    </row>
    <row r="31" spans="1:30" x14ac:dyDescent="0.25">
      <c r="A31" s="268">
        <v>5</v>
      </c>
      <c r="B31" s="164" t="s">
        <v>91</v>
      </c>
      <c r="C31" s="165">
        <v>92000</v>
      </c>
      <c r="D31" s="165">
        <v>0</v>
      </c>
      <c r="E31" s="165">
        <v>0</v>
      </c>
      <c r="F31" s="165">
        <f ca="1">+C31-D31-E31+F30</f>
        <v>611000</v>
      </c>
      <c r="I31" s="159">
        <v>28</v>
      </c>
      <c r="J31" s="173">
        <v>1300002</v>
      </c>
      <c r="K31" s="174">
        <f>VENTAS!E84</f>
        <v>645500</v>
      </c>
      <c r="L31" s="175"/>
      <c r="M31" s="175"/>
      <c r="N31" s="154">
        <v>1300002</v>
      </c>
      <c r="O31" s="163">
        <f t="shared" si="0"/>
        <v>645500</v>
      </c>
      <c r="AD31" s="193" t="s">
        <v>156</v>
      </c>
    </row>
    <row r="32" spans="1:30" x14ac:dyDescent="0.25">
      <c r="A32" s="269"/>
      <c r="B32" s="164" t="s">
        <v>91</v>
      </c>
      <c r="C32" s="165">
        <v>248500</v>
      </c>
      <c r="D32" s="165">
        <v>0</v>
      </c>
      <c r="E32" s="165">
        <v>0</v>
      </c>
      <c r="F32" s="165">
        <f ca="1">+C32-D32-E32+F31</f>
        <v>859500</v>
      </c>
      <c r="I32" s="159">
        <v>29</v>
      </c>
      <c r="J32" s="173">
        <v>1300003</v>
      </c>
      <c r="K32" s="174">
        <f>VENTAS!E85</f>
        <v>492500</v>
      </c>
      <c r="L32" s="175"/>
      <c r="M32" s="175"/>
      <c r="N32" s="154">
        <v>1300003</v>
      </c>
      <c r="O32" s="163"/>
      <c r="AD32" s="193"/>
    </row>
    <row r="33" spans="1:30" x14ac:dyDescent="0.25">
      <c r="A33" s="269"/>
      <c r="B33" s="164" t="s">
        <v>92</v>
      </c>
      <c r="C33" s="165">
        <v>0</v>
      </c>
      <c r="D33" s="165">
        <v>374300</v>
      </c>
      <c r="E33" s="165">
        <v>0</v>
      </c>
      <c r="F33" s="165">
        <f ca="1">+C33-D33-E33+F32</f>
        <v>485200</v>
      </c>
      <c r="I33" s="166">
        <v>30</v>
      </c>
      <c r="J33" s="173">
        <v>1300004</v>
      </c>
      <c r="K33" s="174">
        <f>VENTAS!E86</f>
        <v>360000</v>
      </c>
      <c r="L33" s="175"/>
      <c r="M33" s="175"/>
      <c r="N33" s="154">
        <v>1300004</v>
      </c>
      <c r="O33" s="163"/>
      <c r="AD33" s="193"/>
    </row>
    <row r="34" spans="1:30" x14ac:dyDescent="0.25">
      <c r="A34" s="269"/>
      <c r="B34" s="164"/>
      <c r="C34" s="165">
        <v>0</v>
      </c>
      <c r="D34" s="165">
        <f>360400</f>
        <v>360400</v>
      </c>
      <c r="E34" s="165">
        <v>0</v>
      </c>
      <c r="F34" s="165">
        <f ca="1">+C34-D34-E34+F33</f>
        <v>124800</v>
      </c>
      <c r="I34" s="159">
        <v>31</v>
      </c>
      <c r="J34" s="173">
        <v>1300005</v>
      </c>
      <c r="K34" s="174">
        <f>VENTAS!E87</f>
        <v>852500</v>
      </c>
      <c r="L34" s="175"/>
      <c r="M34" s="175"/>
      <c r="N34" s="154">
        <v>1300005</v>
      </c>
      <c r="O34" s="163">
        <f t="shared" si="0"/>
        <v>852500</v>
      </c>
      <c r="AD34" s="193" t="s">
        <v>158</v>
      </c>
    </row>
    <row r="35" spans="1:30" x14ac:dyDescent="0.25">
      <c r="A35" s="270"/>
      <c r="B35" s="133" t="s">
        <v>156</v>
      </c>
      <c r="C35" s="186">
        <f ca="1">+SUMIF(ACCESORIOS!C55:D65,ACCESORIOS!H2,ACCESORIOS!D55:D65)</f>
        <v>0</v>
      </c>
      <c r="D35" s="165">
        <v>100000</v>
      </c>
      <c r="E35" s="165">
        <v>0</v>
      </c>
      <c r="F35" s="165">
        <f ca="1">+C35-D35-E35+F34</f>
        <v>24800</v>
      </c>
      <c r="I35" s="176"/>
      <c r="J35" s="177"/>
      <c r="K35" s="178"/>
      <c r="L35" s="179"/>
      <c r="M35" s="179"/>
      <c r="N35" s="180"/>
      <c r="O35" s="163">
        <f t="shared" si="0"/>
        <v>0</v>
      </c>
      <c r="AD35" s="193" t="s">
        <v>159</v>
      </c>
    </row>
    <row r="36" spans="1:30" x14ac:dyDescent="0.25">
      <c r="A36" s="172" t="s">
        <v>58</v>
      </c>
      <c r="B36" s="169"/>
      <c r="C36" s="170">
        <f ca="1">SUM(C31:C35)</f>
        <v>340500</v>
      </c>
      <c r="D36" s="170">
        <f>SUM(D31:D35)</f>
        <v>834700</v>
      </c>
      <c r="E36" s="170">
        <f>SUM(E31:E35)</f>
        <v>0</v>
      </c>
      <c r="F36" s="170">
        <f ca="1">F35</f>
        <v>24800</v>
      </c>
      <c r="I36" s="176"/>
      <c r="J36" s="177"/>
      <c r="K36" s="178"/>
      <c r="L36" s="179"/>
      <c r="M36" s="179"/>
      <c r="N36" s="180"/>
      <c r="O36" s="163">
        <f t="shared" si="0"/>
        <v>0</v>
      </c>
      <c r="AD36" s="193"/>
    </row>
    <row r="37" spans="1:30" x14ac:dyDescent="0.25">
      <c r="A37" s="298">
        <v>6</v>
      </c>
      <c r="B37" s="164" t="s">
        <v>91</v>
      </c>
      <c r="C37" s="165">
        <v>97000</v>
      </c>
      <c r="D37" s="165">
        <v>0</v>
      </c>
      <c r="E37" s="165">
        <v>0</v>
      </c>
      <c r="F37" s="165">
        <f ca="1">+C37-D37-E37+F36</f>
        <v>121800</v>
      </c>
      <c r="I37" s="176"/>
      <c r="J37" s="177"/>
      <c r="K37" s="178"/>
      <c r="L37" s="179"/>
      <c r="M37" s="179"/>
      <c r="N37" s="180"/>
      <c r="O37" s="163">
        <f t="shared" si="0"/>
        <v>0</v>
      </c>
      <c r="AD37" s="193"/>
    </row>
    <row r="38" spans="1:30" x14ac:dyDescent="0.25">
      <c r="A38" s="299"/>
      <c r="B38" s="164" t="s">
        <v>91</v>
      </c>
      <c r="C38" s="165">
        <v>380000</v>
      </c>
      <c r="D38" s="165">
        <v>0</v>
      </c>
      <c r="E38" s="165">
        <v>0</v>
      </c>
      <c r="F38" s="165">
        <f ca="1">+C38-D38-E38+F37</f>
        <v>501800</v>
      </c>
      <c r="I38" s="176"/>
      <c r="J38" s="177"/>
      <c r="K38" s="178"/>
      <c r="L38" s="179"/>
      <c r="M38" s="179"/>
      <c r="N38" s="180"/>
      <c r="O38" s="181"/>
      <c r="AD38" s="193"/>
    </row>
    <row r="39" spans="1:30" x14ac:dyDescent="0.25">
      <c r="A39" s="299"/>
      <c r="B39" s="164" t="s">
        <v>92</v>
      </c>
      <c r="C39" s="165">
        <v>0</v>
      </c>
      <c r="D39" s="165">
        <v>437200</v>
      </c>
      <c r="E39" s="165">
        <v>0</v>
      </c>
      <c r="F39" s="165">
        <f ca="1">+C39-D39-E39+F38</f>
        <v>64600</v>
      </c>
      <c r="I39" s="176"/>
      <c r="J39" s="177"/>
      <c r="K39" s="178"/>
      <c r="L39" s="179"/>
      <c r="M39" s="179"/>
      <c r="N39" s="180"/>
      <c r="O39" s="181"/>
      <c r="AD39" s="193"/>
    </row>
    <row r="40" spans="1:30" x14ac:dyDescent="0.25">
      <c r="A40" s="299"/>
      <c r="B40" s="164"/>
      <c r="C40" s="165">
        <v>0</v>
      </c>
      <c r="D40" s="165">
        <v>0</v>
      </c>
      <c r="E40" s="165">
        <v>0</v>
      </c>
      <c r="F40" s="165">
        <f ca="1">+C40-D40-E40+F39</f>
        <v>64600</v>
      </c>
      <c r="I40" s="176"/>
      <c r="J40" s="177"/>
      <c r="K40" s="178"/>
      <c r="L40" s="179"/>
      <c r="M40" s="179"/>
      <c r="N40" s="177"/>
      <c r="O40" s="182"/>
      <c r="AD40" s="193"/>
    </row>
    <row r="41" spans="1:30" x14ac:dyDescent="0.25">
      <c r="A41" s="300"/>
      <c r="B41" s="133" t="s">
        <v>156</v>
      </c>
      <c r="C41" s="186">
        <f ca="1">+SUMIF(ACCESORIOS!C68:D78,ACCESORIOS!H2,ACCESORIOS!D68:D78)</f>
        <v>0</v>
      </c>
      <c r="D41" s="186">
        <v>0</v>
      </c>
      <c r="E41" s="165">
        <v>0</v>
      </c>
      <c r="F41" s="165">
        <f ca="1">+C41-D41-E41+F40</f>
        <v>64600</v>
      </c>
      <c r="AD41" s="193"/>
    </row>
    <row r="42" spans="1:30" x14ac:dyDescent="0.25">
      <c r="A42" s="172" t="s">
        <v>58</v>
      </c>
      <c r="B42" s="169"/>
      <c r="C42" s="170">
        <f ca="1">SUM(C37:C41)</f>
        <v>477000</v>
      </c>
      <c r="D42" s="170">
        <f>SUM(D37:D41)</f>
        <v>437200</v>
      </c>
      <c r="E42" s="170">
        <f>SUM(E37:E41)</f>
        <v>0</v>
      </c>
      <c r="F42" s="170">
        <f ca="1">F41</f>
        <v>64600</v>
      </c>
      <c r="K42" s="183"/>
      <c r="M42" s="183"/>
      <c r="O42" s="183"/>
      <c r="AD42" s="193"/>
    </row>
    <row r="43" spans="1:30" x14ac:dyDescent="0.25">
      <c r="A43" s="283">
        <v>7</v>
      </c>
      <c r="B43" s="164" t="s">
        <v>91</v>
      </c>
      <c r="C43" s="165">
        <v>290500</v>
      </c>
      <c r="D43" s="165">
        <v>0</v>
      </c>
      <c r="E43" s="165">
        <v>0</v>
      </c>
      <c r="F43" s="165">
        <f ca="1">+C43-D43-E43+F42</f>
        <v>355100</v>
      </c>
      <c r="L43" s="183"/>
      <c r="AD43" s="193"/>
    </row>
    <row r="44" spans="1:30" x14ac:dyDescent="0.25">
      <c r="A44" s="284"/>
      <c r="B44" s="164" t="s">
        <v>91</v>
      </c>
      <c r="C44" s="165">
        <v>301000</v>
      </c>
      <c r="D44" s="165">
        <v>0</v>
      </c>
      <c r="E44" s="165">
        <v>0</v>
      </c>
      <c r="F44" s="165">
        <f ca="1">+C44-D44-E44+F43</f>
        <v>656100</v>
      </c>
      <c r="L44" s="183"/>
      <c r="AD44" s="193"/>
    </row>
    <row r="45" spans="1:30" x14ac:dyDescent="0.25">
      <c r="A45" s="284"/>
      <c r="B45" s="164" t="s">
        <v>92</v>
      </c>
      <c r="C45" s="165">
        <v>0</v>
      </c>
      <c r="D45" s="165">
        <v>449750</v>
      </c>
      <c r="E45" s="165">
        <v>0</v>
      </c>
      <c r="F45" s="165">
        <f ca="1">+C45-D45-E45+F44</f>
        <v>206350</v>
      </c>
      <c r="L45" s="183"/>
      <c r="AD45" s="193"/>
    </row>
    <row r="46" spans="1:30" x14ac:dyDescent="0.25">
      <c r="A46" s="284"/>
      <c r="B46" s="164"/>
      <c r="C46" s="165">
        <v>0</v>
      </c>
      <c r="D46" s="165">
        <v>65000</v>
      </c>
      <c r="E46" s="165">
        <v>0</v>
      </c>
      <c r="F46" s="165">
        <f ca="1">+C46-D46-E46+F45</f>
        <v>141350</v>
      </c>
      <c r="AD46" s="193"/>
    </row>
    <row r="47" spans="1:30" x14ac:dyDescent="0.25">
      <c r="A47" s="285"/>
      <c r="B47" s="133" t="s">
        <v>156</v>
      </c>
      <c r="C47" s="186">
        <f ca="1">+SUMIF(ACCESORIOS!C81:D91,ACCESORIOS!H2,ACCESORIOS!D81:D91)</f>
        <v>0</v>
      </c>
      <c r="D47" s="186">
        <v>0</v>
      </c>
      <c r="E47" s="165">
        <v>0</v>
      </c>
      <c r="F47" s="165">
        <f ca="1">+C47-D47-E47+F46</f>
        <v>141350</v>
      </c>
      <c r="J47" s="183"/>
      <c r="AD47" s="193"/>
    </row>
    <row r="48" spans="1:30" x14ac:dyDescent="0.25">
      <c r="A48" s="172" t="s">
        <v>58</v>
      </c>
      <c r="B48" s="169"/>
      <c r="C48" s="170">
        <f ca="1">SUM(C43:C47)</f>
        <v>591500</v>
      </c>
      <c r="D48" s="170">
        <f>SUM(D43:D47)</f>
        <v>514750</v>
      </c>
      <c r="E48" s="170">
        <f>SUM(E43:E47)</f>
        <v>0</v>
      </c>
      <c r="F48" s="170">
        <f ca="1">F47</f>
        <v>141350</v>
      </c>
      <c r="AD48" s="193"/>
    </row>
    <row r="49" spans="1:30" x14ac:dyDescent="0.25">
      <c r="A49" s="277">
        <v>8</v>
      </c>
      <c r="B49" s="164" t="s">
        <v>91</v>
      </c>
      <c r="C49" s="165">
        <v>156000</v>
      </c>
      <c r="D49" s="165">
        <v>0</v>
      </c>
      <c r="E49" s="165">
        <v>0</v>
      </c>
      <c r="F49" s="165">
        <f ca="1">+C49-D49-E49+F48</f>
        <v>297350</v>
      </c>
      <c r="AD49" s="193"/>
    </row>
    <row r="50" spans="1:30" x14ac:dyDescent="0.25">
      <c r="A50" s="278"/>
      <c r="B50" s="164" t="s">
        <v>91</v>
      </c>
      <c r="C50" s="165">
        <v>295000</v>
      </c>
      <c r="D50" s="165">
        <v>0</v>
      </c>
      <c r="E50" s="165">
        <v>0</v>
      </c>
      <c r="F50" s="165">
        <f ca="1">+C50-D50-E50+F49</f>
        <v>592350</v>
      </c>
      <c r="AD50" s="193"/>
    </row>
    <row r="51" spans="1:30" x14ac:dyDescent="0.25">
      <c r="A51" s="278"/>
      <c r="B51" s="164" t="s">
        <v>92</v>
      </c>
      <c r="C51" s="165">
        <v>0</v>
      </c>
      <c r="D51" s="165">
        <v>413200</v>
      </c>
      <c r="E51" s="165">
        <v>0</v>
      </c>
      <c r="F51" s="165">
        <f ca="1">+C51-D51-E51+F50</f>
        <v>179150</v>
      </c>
      <c r="AD51" s="193"/>
    </row>
    <row r="52" spans="1:30" x14ac:dyDescent="0.25">
      <c r="A52" s="278"/>
      <c r="B52" s="164"/>
      <c r="C52" s="165">
        <v>0</v>
      </c>
      <c r="D52" s="165">
        <v>0</v>
      </c>
      <c r="E52" s="165">
        <v>0</v>
      </c>
      <c r="F52" s="165">
        <f ca="1">+C52-D52-E52+F51</f>
        <v>179150</v>
      </c>
      <c r="J52" s="183"/>
      <c r="AD52" s="193"/>
    </row>
    <row r="53" spans="1:30" x14ac:dyDescent="0.25">
      <c r="A53" s="279"/>
      <c r="B53" s="133" t="s">
        <v>156</v>
      </c>
      <c r="C53" s="186">
        <f ca="1">+SUMIF(ACCESORIOS!C94:D104,ACCESORIOS!H2,ACCESORIOS!D94:D104)</f>
        <v>0</v>
      </c>
      <c r="D53" s="186">
        <v>0</v>
      </c>
      <c r="E53" s="165">
        <v>0</v>
      </c>
      <c r="F53" s="165">
        <f ca="1">+C53-D53-E53+F52</f>
        <v>179150</v>
      </c>
      <c r="J53" s="183"/>
      <c r="AD53" s="193"/>
    </row>
    <row r="54" spans="1:30" x14ac:dyDescent="0.25">
      <c r="A54" s="172" t="s">
        <v>58</v>
      </c>
      <c r="B54" s="169"/>
      <c r="C54" s="170">
        <f ca="1">SUM(C49:C53)</f>
        <v>451000</v>
      </c>
      <c r="D54" s="170">
        <f>SUM(D49:D53)</f>
        <v>413200</v>
      </c>
      <c r="E54" s="170">
        <f>SUM(E49:E53)</f>
        <v>0</v>
      </c>
      <c r="F54" s="170">
        <f ca="1">F53</f>
        <v>179150</v>
      </c>
      <c r="AD54" s="193"/>
    </row>
    <row r="55" spans="1:30" x14ac:dyDescent="0.25">
      <c r="A55" s="274">
        <v>9</v>
      </c>
      <c r="B55" s="164" t="s">
        <v>91</v>
      </c>
      <c r="C55" s="165">
        <v>214500</v>
      </c>
      <c r="D55" s="165">
        <v>0</v>
      </c>
      <c r="E55" s="165">
        <v>0</v>
      </c>
      <c r="F55" s="165">
        <f ca="1">+C55-D55-E55+F54</f>
        <v>393650</v>
      </c>
      <c r="AD55" s="193"/>
    </row>
    <row r="56" spans="1:30" x14ac:dyDescent="0.25">
      <c r="A56" s="275"/>
      <c r="B56" s="164" t="s">
        <v>91</v>
      </c>
      <c r="C56" s="165">
        <v>355500</v>
      </c>
      <c r="D56" s="165">
        <v>0</v>
      </c>
      <c r="E56" s="165">
        <v>0</v>
      </c>
      <c r="F56" s="165">
        <f ca="1">+C56-D56-E56+F55</f>
        <v>749150</v>
      </c>
      <c r="AD56" s="193"/>
    </row>
    <row r="57" spans="1:30" x14ac:dyDescent="0.25">
      <c r="A57" s="275"/>
      <c r="B57" s="164" t="s">
        <v>92</v>
      </c>
      <c r="C57" s="165">
        <v>0</v>
      </c>
      <c r="D57" s="165">
        <v>535800</v>
      </c>
      <c r="E57" s="165">
        <v>0</v>
      </c>
      <c r="F57" s="165">
        <f ca="1">+C57-D57-E57+F56</f>
        <v>213350</v>
      </c>
      <c r="AD57" s="193"/>
    </row>
    <row r="58" spans="1:30" x14ac:dyDescent="0.25">
      <c r="A58" s="275"/>
      <c r="B58" s="164"/>
      <c r="C58" s="165">
        <v>0</v>
      </c>
      <c r="D58" s="165">
        <v>100000</v>
      </c>
      <c r="E58" s="165">
        <v>0</v>
      </c>
      <c r="F58" s="165">
        <f ca="1">+C58-D58-E58+F57</f>
        <v>113350</v>
      </c>
      <c r="AD58" s="193"/>
    </row>
    <row r="59" spans="1:30" x14ac:dyDescent="0.25">
      <c r="A59" s="276"/>
      <c r="B59" s="133" t="s">
        <v>156</v>
      </c>
      <c r="C59" s="186">
        <f ca="1">+SUMIF(ACCESORIOS!C107:D117,ACCESORIOS!H2,ACCESORIOS!D107:D117)</f>
        <v>0</v>
      </c>
      <c r="D59" s="186">
        <v>0</v>
      </c>
      <c r="E59" s="165">
        <v>0</v>
      </c>
      <c r="F59" s="165">
        <f ca="1">+C59-D59-E59+F58</f>
        <v>113350</v>
      </c>
      <c r="AD59" s="193"/>
    </row>
    <row r="60" spans="1:30" x14ac:dyDescent="0.25">
      <c r="A60" s="172" t="s">
        <v>58</v>
      </c>
      <c r="B60" s="169"/>
      <c r="C60" s="170">
        <f ca="1">SUM(C55:C59)</f>
        <v>570000</v>
      </c>
      <c r="D60" s="170">
        <f>SUM(D55:D59)</f>
        <v>635800</v>
      </c>
      <c r="E60" s="170">
        <f>SUM(E55:E59)</f>
        <v>0</v>
      </c>
      <c r="F60" s="170">
        <f ca="1">F59</f>
        <v>113350</v>
      </c>
      <c r="AD60" s="193"/>
    </row>
    <row r="61" spans="1:30" x14ac:dyDescent="0.25">
      <c r="A61" s="308">
        <v>10</v>
      </c>
      <c r="B61" s="164" t="s">
        <v>91</v>
      </c>
      <c r="C61" s="165">
        <v>252000</v>
      </c>
      <c r="D61" s="165">
        <v>0</v>
      </c>
      <c r="E61" s="165">
        <v>0</v>
      </c>
      <c r="F61" s="165">
        <f ca="1">+C61-D61-E61+F60</f>
        <v>365350</v>
      </c>
      <c r="AD61" s="193"/>
    </row>
    <row r="62" spans="1:30" x14ac:dyDescent="0.25">
      <c r="A62" s="309"/>
      <c r="B62" s="164" t="s">
        <v>91</v>
      </c>
      <c r="C62" s="165">
        <v>346000</v>
      </c>
      <c r="D62" s="165">
        <v>0</v>
      </c>
      <c r="E62" s="165">
        <v>0</v>
      </c>
      <c r="F62" s="165">
        <f ca="1">+C62-D62-E62+F61</f>
        <v>711350</v>
      </c>
      <c r="AD62" s="193"/>
    </row>
    <row r="63" spans="1:30" x14ac:dyDescent="0.25">
      <c r="A63" s="309"/>
      <c r="B63" s="164" t="s">
        <v>92</v>
      </c>
      <c r="C63" s="165">
        <v>0</v>
      </c>
      <c r="D63" s="165">
        <v>314250</v>
      </c>
      <c r="E63" s="165">
        <v>0</v>
      </c>
      <c r="F63" s="165">
        <f ca="1">+C63-D63-E63+F62</f>
        <v>397100</v>
      </c>
      <c r="AD63" s="193"/>
    </row>
    <row r="64" spans="1:30" x14ac:dyDescent="0.25">
      <c r="A64" s="309"/>
      <c r="B64" s="164" t="s">
        <v>161</v>
      </c>
      <c r="C64" s="165">
        <v>0</v>
      </c>
      <c r="D64" s="165">
        <v>12000</v>
      </c>
      <c r="E64" s="165">
        <v>0</v>
      </c>
      <c r="F64" s="165">
        <f ca="1">+C64-D64-E64+F63</f>
        <v>385100</v>
      </c>
      <c r="J64" s="183"/>
      <c r="AD64" s="193"/>
    </row>
    <row r="65" spans="1:30" x14ac:dyDescent="0.25">
      <c r="A65" s="310"/>
      <c r="B65" s="133" t="s">
        <v>156</v>
      </c>
      <c r="C65" s="186">
        <f ca="1">+SUMIF(ACCESORIOS!C120:D130,ACCESORIOS!H2,ACCESORIOS!D120:D130)</f>
        <v>0</v>
      </c>
      <c r="D65" s="186">
        <v>0</v>
      </c>
      <c r="E65" s="165">
        <v>0</v>
      </c>
      <c r="F65" s="165">
        <f ca="1">+C65-D65-E65+F64</f>
        <v>385100</v>
      </c>
      <c r="J65" s="183"/>
      <c r="AD65" s="193"/>
    </row>
    <row r="66" spans="1:30" x14ac:dyDescent="0.25">
      <c r="A66" s="172" t="s">
        <v>58</v>
      </c>
      <c r="B66" s="169"/>
      <c r="C66" s="170">
        <f ca="1">SUM(C61:C65)</f>
        <v>598000</v>
      </c>
      <c r="D66" s="170">
        <f>SUM(D61:D65)</f>
        <v>326250</v>
      </c>
      <c r="E66" s="170">
        <f>SUM(E61:E65)</f>
        <v>0</v>
      </c>
      <c r="F66" s="170">
        <f ca="1">F65</f>
        <v>385100</v>
      </c>
      <c r="J66" s="183"/>
      <c r="AD66" s="193"/>
    </row>
    <row r="67" spans="1:30" x14ac:dyDescent="0.25">
      <c r="A67" s="271">
        <v>11</v>
      </c>
      <c r="B67" s="164" t="s">
        <v>91</v>
      </c>
      <c r="C67" s="165">
        <v>124000</v>
      </c>
      <c r="D67" s="165">
        <v>0</v>
      </c>
      <c r="E67" s="165">
        <v>0</v>
      </c>
      <c r="F67" s="165">
        <f ca="1">+C67-D67-E67+F66</f>
        <v>509100</v>
      </c>
    </row>
    <row r="68" spans="1:30" x14ac:dyDescent="0.25">
      <c r="A68" s="272"/>
      <c r="B68" s="164" t="s">
        <v>91</v>
      </c>
      <c r="C68" s="165">
        <v>222000</v>
      </c>
      <c r="D68" s="165">
        <v>0</v>
      </c>
      <c r="E68" s="165">
        <v>0</v>
      </c>
      <c r="F68" s="165">
        <f ca="1">+C68-D68-E68+F67</f>
        <v>731100</v>
      </c>
    </row>
    <row r="69" spans="1:30" x14ac:dyDescent="0.25">
      <c r="A69" s="272"/>
      <c r="B69" s="164" t="s">
        <v>92</v>
      </c>
      <c r="C69" s="165">
        <v>0</v>
      </c>
      <c r="D69" s="165">
        <v>349950</v>
      </c>
      <c r="E69" s="165">
        <v>0</v>
      </c>
      <c r="F69" s="165">
        <f ca="1">+C69-D69-E69+F68</f>
        <v>381150</v>
      </c>
    </row>
    <row r="70" spans="1:30" x14ac:dyDescent="0.25">
      <c r="A70" s="272"/>
      <c r="B70" s="164"/>
      <c r="C70" s="165">
        <v>0</v>
      </c>
      <c r="D70" s="165">
        <v>0</v>
      </c>
      <c r="E70" s="165">
        <v>0</v>
      </c>
      <c r="F70" s="165">
        <f ca="1">+C70-D70-E70+F69</f>
        <v>381150</v>
      </c>
    </row>
    <row r="71" spans="1:30" x14ac:dyDescent="0.25">
      <c r="A71" s="273"/>
      <c r="B71" s="133" t="s">
        <v>156</v>
      </c>
      <c r="C71" s="186">
        <f ca="1">+SUMIF(ACCESORIOS!C133:D143,ACCESORIOS!H2,ACCESORIOS!D133:D143)</f>
        <v>32000</v>
      </c>
      <c r="D71" s="186">
        <v>0</v>
      </c>
      <c r="E71" s="165">
        <v>0</v>
      </c>
      <c r="F71" s="165">
        <f ca="1">+C71-D71-E71+F70</f>
        <v>413150</v>
      </c>
    </row>
    <row r="72" spans="1:30" x14ac:dyDescent="0.25">
      <c r="A72" s="172" t="s">
        <v>58</v>
      </c>
      <c r="B72" s="169"/>
      <c r="C72" s="170">
        <f ca="1">SUM(C67:C71)</f>
        <v>378000</v>
      </c>
      <c r="D72" s="170">
        <f>SUM(D67:D71)</f>
        <v>349950</v>
      </c>
      <c r="E72" s="170">
        <f>SUM(E67:E71)</f>
        <v>0</v>
      </c>
      <c r="F72" s="170">
        <f ca="1">F71</f>
        <v>413150</v>
      </c>
    </row>
    <row r="73" spans="1:30" x14ac:dyDescent="0.25">
      <c r="A73" s="292">
        <v>12</v>
      </c>
      <c r="B73" s="164" t="s">
        <v>91</v>
      </c>
      <c r="C73" s="165">
        <v>249000</v>
      </c>
      <c r="D73" s="165">
        <v>0</v>
      </c>
      <c r="E73" s="165">
        <v>0</v>
      </c>
      <c r="F73" s="165">
        <f ca="1">+C73-D73-E73+F72</f>
        <v>662150</v>
      </c>
      <c r="J73" s="183"/>
    </row>
    <row r="74" spans="1:30" x14ac:dyDescent="0.25">
      <c r="A74" s="293"/>
      <c r="B74" s="164" t="s">
        <v>91</v>
      </c>
      <c r="C74" s="165">
        <v>204700</v>
      </c>
      <c r="D74" s="165">
        <v>0</v>
      </c>
      <c r="E74" s="165">
        <v>0</v>
      </c>
      <c r="F74" s="165">
        <f ca="1">+C74-D74-E74+F73</f>
        <v>866850</v>
      </c>
      <c r="J74" s="183"/>
    </row>
    <row r="75" spans="1:30" x14ac:dyDescent="0.25">
      <c r="A75" s="293"/>
      <c r="B75" s="164" t="s">
        <v>92</v>
      </c>
      <c r="C75" s="165">
        <v>0</v>
      </c>
      <c r="D75" s="165">
        <v>490300</v>
      </c>
      <c r="E75" s="165">
        <v>0</v>
      </c>
      <c r="F75" s="165">
        <f ca="1">+C75-D75-E75+F74</f>
        <v>376550</v>
      </c>
      <c r="J75" s="183"/>
    </row>
    <row r="76" spans="1:30" x14ac:dyDescent="0.25">
      <c r="A76" s="293"/>
      <c r="B76" s="164"/>
      <c r="C76" s="165">
        <v>0</v>
      </c>
      <c r="D76" s="165">
        <f>92800+50000</f>
        <v>142800</v>
      </c>
      <c r="E76" s="165">
        <v>0</v>
      </c>
      <c r="F76" s="165">
        <f ca="1">+C76-D76-E76+F75</f>
        <v>233750</v>
      </c>
    </row>
    <row r="77" spans="1:30" x14ac:dyDescent="0.25">
      <c r="A77" s="294"/>
      <c r="B77" s="133" t="s">
        <v>156</v>
      </c>
      <c r="C77" s="186">
        <f ca="1">+SUMIF(ACCESORIOS!C146:D156,ACCESORIOS!H2,ACCESORIOS!D146:D156)</f>
        <v>0</v>
      </c>
      <c r="D77" s="186">
        <v>0</v>
      </c>
      <c r="E77" s="165">
        <v>0</v>
      </c>
      <c r="F77" s="165">
        <f ca="1">+C77-D77-E77+F76</f>
        <v>233750</v>
      </c>
    </row>
    <row r="78" spans="1:30" x14ac:dyDescent="0.25">
      <c r="A78" s="172" t="s">
        <v>58</v>
      </c>
      <c r="B78" s="169"/>
      <c r="C78" s="170">
        <f ca="1">SUM(C73:C77)</f>
        <v>453700</v>
      </c>
      <c r="D78" s="170">
        <f>SUM(D73:D77)</f>
        <v>633100</v>
      </c>
      <c r="E78" s="170">
        <f>SUM(E73:E77)</f>
        <v>0</v>
      </c>
      <c r="F78" s="170">
        <f ca="1">F77</f>
        <v>233750</v>
      </c>
    </row>
    <row r="79" spans="1:30" x14ac:dyDescent="0.25">
      <c r="A79" s="277">
        <v>13</v>
      </c>
      <c r="B79" s="164" t="s">
        <v>91</v>
      </c>
      <c r="C79" s="165">
        <v>164000</v>
      </c>
      <c r="D79" s="165">
        <v>0</v>
      </c>
      <c r="E79" s="165">
        <v>0</v>
      </c>
      <c r="F79" s="165">
        <f ca="1">+C79-D79-E79+F78</f>
        <v>397750</v>
      </c>
      <c r="J79" s="183"/>
    </row>
    <row r="80" spans="1:30" x14ac:dyDescent="0.25">
      <c r="A80" s="278"/>
      <c r="B80" s="164" t="s">
        <v>91</v>
      </c>
      <c r="C80" s="165">
        <v>306000</v>
      </c>
      <c r="D80" s="165">
        <v>0</v>
      </c>
      <c r="E80" s="165">
        <v>0</v>
      </c>
      <c r="F80" s="165">
        <f ca="1">+C80-D80-E80+F79</f>
        <v>703750</v>
      </c>
      <c r="J80" s="183"/>
    </row>
    <row r="81" spans="1:14" x14ac:dyDescent="0.25">
      <c r="A81" s="278"/>
      <c r="B81" s="164" t="s">
        <v>92</v>
      </c>
      <c r="C81" s="165">
        <v>0</v>
      </c>
      <c r="D81" s="165">
        <v>459900</v>
      </c>
      <c r="E81" s="165">
        <v>0</v>
      </c>
      <c r="F81" s="165">
        <f ca="1">+C81-D81-E81+F80</f>
        <v>243850</v>
      </c>
      <c r="J81" s="183"/>
    </row>
    <row r="82" spans="1:14" x14ac:dyDescent="0.25">
      <c r="A82" s="278"/>
      <c r="B82" s="164" t="s">
        <v>159</v>
      </c>
      <c r="C82" s="165">
        <v>550</v>
      </c>
      <c r="D82" s="165">
        <v>0</v>
      </c>
      <c r="E82" s="165">
        <v>0</v>
      </c>
      <c r="F82" s="165">
        <f ca="1">+C82-D82-E82+F81</f>
        <v>244400</v>
      </c>
    </row>
    <row r="83" spans="1:14" x14ac:dyDescent="0.25">
      <c r="A83" s="279"/>
      <c r="B83" s="133" t="s">
        <v>156</v>
      </c>
      <c r="C83" s="186">
        <f ca="1">+SUMIF(ACCESORIOS!C159:D169,ACCESORIOS!H2,ACCESORIOS!D159:D169)</f>
        <v>0</v>
      </c>
      <c r="D83" s="186">
        <v>0</v>
      </c>
      <c r="E83" s="165">
        <v>0</v>
      </c>
      <c r="F83" s="165">
        <f ca="1">+C83-D83-E83+F82</f>
        <v>244400</v>
      </c>
      <c r="H83" s="215"/>
    </row>
    <row r="84" spans="1:14" x14ac:dyDescent="0.25">
      <c r="A84" s="172" t="s">
        <v>58</v>
      </c>
      <c r="B84" s="169"/>
      <c r="C84" s="170">
        <f ca="1">SUM(C79:C83)</f>
        <v>470550</v>
      </c>
      <c r="D84" s="170">
        <f>SUM(D79:D83)</f>
        <v>459900</v>
      </c>
      <c r="E84" s="170">
        <f>SUM(E79:E83)</f>
        <v>0</v>
      </c>
      <c r="F84" s="170">
        <f ca="1">F83</f>
        <v>244400</v>
      </c>
    </row>
    <row r="85" spans="1:14" x14ac:dyDescent="0.25">
      <c r="A85" s="274">
        <v>14</v>
      </c>
      <c r="B85" s="164" t="s">
        <v>91</v>
      </c>
      <c r="C85" s="165">
        <v>159000</v>
      </c>
      <c r="D85" s="165">
        <v>0</v>
      </c>
      <c r="E85" s="165">
        <v>0</v>
      </c>
      <c r="F85" s="165">
        <f ca="1">+C85-D85-E85+F84</f>
        <v>403400</v>
      </c>
      <c r="J85" s="183"/>
    </row>
    <row r="86" spans="1:14" x14ac:dyDescent="0.25">
      <c r="A86" s="275"/>
      <c r="B86" s="164" t="s">
        <v>91</v>
      </c>
      <c r="C86" s="165">
        <v>393500</v>
      </c>
      <c r="D86" s="165">
        <v>0</v>
      </c>
      <c r="E86" s="165">
        <v>0</v>
      </c>
      <c r="F86" s="165">
        <f ca="1">+C86-D86-E86+F85</f>
        <v>796900</v>
      </c>
      <c r="J86" s="183"/>
    </row>
    <row r="87" spans="1:14" x14ac:dyDescent="0.25">
      <c r="A87" s="275"/>
      <c r="B87" s="164" t="s">
        <v>92</v>
      </c>
      <c r="C87" s="165">
        <v>0</v>
      </c>
      <c r="D87" s="165">
        <v>453200</v>
      </c>
      <c r="E87" s="165">
        <v>0</v>
      </c>
      <c r="F87" s="165">
        <f ca="1">+C87-D87-E87+F86</f>
        <v>343700</v>
      </c>
      <c r="J87" s="183"/>
    </row>
    <row r="88" spans="1:14" x14ac:dyDescent="0.25">
      <c r="A88" s="275"/>
      <c r="B88" s="164"/>
      <c r="C88" s="165">
        <v>0</v>
      </c>
      <c r="D88" s="165">
        <v>20000</v>
      </c>
      <c r="E88" s="165">
        <v>0</v>
      </c>
      <c r="F88" s="165">
        <f ca="1">+C88-D88-E88+F87</f>
        <v>323700</v>
      </c>
    </row>
    <row r="89" spans="1:14" x14ac:dyDescent="0.25">
      <c r="A89" s="276"/>
      <c r="B89" s="133" t="s">
        <v>156</v>
      </c>
      <c r="C89" s="186">
        <f ca="1">+SUMIF(ACCESORIOS!C172:D182,ACCESORIOS!H2,ACCESORIOS!D172:D182)</f>
        <v>0</v>
      </c>
      <c r="D89" s="186">
        <v>0</v>
      </c>
      <c r="E89" s="165">
        <v>0</v>
      </c>
      <c r="F89" s="165">
        <f ca="1">+C89-D89-E89+F88</f>
        <v>323700</v>
      </c>
    </row>
    <row r="90" spans="1:14" x14ac:dyDescent="0.25">
      <c r="A90" s="172" t="s">
        <v>58</v>
      </c>
      <c r="B90" s="169"/>
      <c r="C90" s="170">
        <f ca="1">SUM(C85:C89)</f>
        <v>552500</v>
      </c>
      <c r="D90" s="170">
        <f>SUM(D85:D89)</f>
        <v>473200</v>
      </c>
      <c r="E90" s="170">
        <f>SUM(E85:E89)</f>
        <v>0</v>
      </c>
      <c r="F90" s="170">
        <f ca="1">F89</f>
        <v>323700</v>
      </c>
      <c r="N90" s="183"/>
    </row>
    <row r="91" spans="1:14" x14ac:dyDescent="0.25">
      <c r="A91" s="283">
        <v>15</v>
      </c>
      <c r="B91" s="164" t="s">
        <v>91</v>
      </c>
      <c r="C91" s="165">
        <v>192000</v>
      </c>
      <c r="D91" s="165">
        <v>0</v>
      </c>
      <c r="E91" s="165">
        <v>0</v>
      </c>
      <c r="F91" s="165">
        <f ca="1">+C91-D91-E91+F90</f>
        <v>515700</v>
      </c>
      <c r="J91" s="183"/>
    </row>
    <row r="92" spans="1:14" x14ac:dyDescent="0.25">
      <c r="A92" s="284"/>
      <c r="B92" s="164" t="s">
        <v>91</v>
      </c>
      <c r="C92" s="165">
        <v>563000</v>
      </c>
      <c r="D92" s="165">
        <v>0</v>
      </c>
      <c r="E92" s="165">
        <v>0</v>
      </c>
      <c r="F92" s="165">
        <f ca="1">+C92-D92-E92+F91</f>
        <v>1078700</v>
      </c>
      <c r="J92" s="183"/>
    </row>
    <row r="93" spans="1:14" x14ac:dyDescent="0.25">
      <c r="A93" s="284"/>
      <c r="B93" s="164" t="s">
        <v>92</v>
      </c>
      <c r="C93" s="165">
        <v>0</v>
      </c>
      <c r="D93" s="165">
        <v>503000</v>
      </c>
      <c r="E93" s="165">
        <v>0</v>
      </c>
      <c r="F93" s="165">
        <f ca="1">+C93-D93-E93+F92</f>
        <v>575700</v>
      </c>
      <c r="J93" s="183"/>
    </row>
    <row r="94" spans="1:14" x14ac:dyDescent="0.25">
      <c r="A94" s="284"/>
      <c r="B94" s="142" t="s">
        <v>196</v>
      </c>
      <c r="C94" s="165">
        <v>0</v>
      </c>
      <c r="D94" s="217">
        <v>120000</v>
      </c>
      <c r="E94" s="165">
        <v>0</v>
      </c>
      <c r="F94" s="165">
        <f ca="1">+C94-D94-E94+F93</f>
        <v>455700</v>
      </c>
    </row>
    <row r="95" spans="1:14" x14ac:dyDescent="0.25">
      <c r="A95" s="285"/>
      <c r="B95" s="133" t="s">
        <v>156</v>
      </c>
      <c r="C95" s="186">
        <f ca="1">+SUMIF(ACCESORIOS!C185:D195,ACCESORIOS!H2,ACCESORIOS!D185:D195)</f>
        <v>0</v>
      </c>
      <c r="D95" s="186">
        <v>0</v>
      </c>
      <c r="E95" s="165">
        <v>0</v>
      </c>
      <c r="F95" s="165">
        <f ca="1">+C95-D95-E95+F94</f>
        <v>455700</v>
      </c>
    </row>
    <row r="96" spans="1:14" x14ac:dyDescent="0.25">
      <c r="A96" s="172" t="s">
        <v>58</v>
      </c>
      <c r="B96" s="169"/>
      <c r="C96" s="170">
        <f ca="1">SUM(C91:C95)</f>
        <v>755000</v>
      </c>
      <c r="D96" s="170">
        <f>SUM(D91:D95)</f>
        <v>623000</v>
      </c>
      <c r="E96" s="170">
        <f>SUM(E91:E95)</f>
        <v>0</v>
      </c>
      <c r="F96" s="170">
        <f ca="1">F95</f>
        <v>455700</v>
      </c>
      <c r="J96" s="183"/>
    </row>
    <row r="97" spans="1:11" x14ac:dyDescent="0.25">
      <c r="A97" s="295">
        <v>16</v>
      </c>
      <c r="B97" s="164" t="s">
        <v>91</v>
      </c>
      <c r="C97" s="165">
        <v>363500</v>
      </c>
      <c r="D97" s="165">
        <v>0</v>
      </c>
      <c r="E97" s="165">
        <v>0</v>
      </c>
      <c r="F97" s="165">
        <f ca="1">+C97-D97-E97+F96</f>
        <v>819200</v>
      </c>
    </row>
    <row r="98" spans="1:11" x14ac:dyDescent="0.25">
      <c r="A98" s="296"/>
      <c r="B98" s="164" t="s">
        <v>91</v>
      </c>
      <c r="C98" s="165">
        <v>461000</v>
      </c>
      <c r="D98" s="165">
        <v>0</v>
      </c>
      <c r="E98" s="165">
        <v>0</v>
      </c>
      <c r="F98" s="165">
        <f ca="1">+C98-D98-E98+F97</f>
        <v>1280200</v>
      </c>
    </row>
    <row r="99" spans="1:11" x14ac:dyDescent="0.25">
      <c r="A99" s="296"/>
      <c r="B99" s="164" t="s">
        <v>92</v>
      </c>
      <c r="C99" s="165">
        <v>0</v>
      </c>
      <c r="D99" s="165">
        <v>578700</v>
      </c>
      <c r="E99" s="165">
        <v>0</v>
      </c>
      <c r="F99" s="165">
        <f ca="1">+C99-D99-E99+F98</f>
        <v>701500</v>
      </c>
    </row>
    <row r="100" spans="1:11" x14ac:dyDescent="0.25">
      <c r="A100" s="296"/>
      <c r="B100" s="164"/>
      <c r="C100" s="165">
        <v>0</v>
      </c>
      <c r="D100" s="165">
        <v>301100</v>
      </c>
      <c r="E100" s="165">
        <v>0</v>
      </c>
      <c r="F100" s="165">
        <f ca="1">+C100-D100-E100+F99</f>
        <v>400400</v>
      </c>
    </row>
    <row r="101" spans="1:11" x14ac:dyDescent="0.25">
      <c r="A101" s="297"/>
      <c r="B101" s="133" t="s">
        <v>156</v>
      </c>
      <c r="C101" s="186">
        <f ca="1">+SUMIF(ACCESORIOS!C198:D208,ACCESORIOS!H2:H2,ACCESORIOS!D198:D208)</f>
        <v>0</v>
      </c>
      <c r="D101" s="186">
        <v>0</v>
      </c>
      <c r="E101" s="165">
        <v>0</v>
      </c>
      <c r="F101" s="165">
        <f ca="1">+C101-D101-E101+F100</f>
        <v>400400</v>
      </c>
    </row>
    <row r="102" spans="1:11" x14ac:dyDescent="0.25">
      <c r="A102" s="172" t="s">
        <v>58</v>
      </c>
      <c r="B102" s="169"/>
      <c r="C102" s="170">
        <f ca="1">SUM(C97:C101)</f>
        <v>824500</v>
      </c>
      <c r="D102" s="170">
        <f>SUM(D97:D101)</f>
        <v>879800</v>
      </c>
      <c r="E102" s="170">
        <f>SUM(E97:E101)</f>
        <v>0</v>
      </c>
      <c r="F102" s="170">
        <f ca="1">F101</f>
        <v>400400</v>
      </c>
    </row>
    <row r="103" spans="1:11" x14ac:dyDescent="0.25">
      <c r="A103" s="298">
        <v>17</v>
      </c>
      <c r="B103" s="164" t="s">
        <v>91</v>
      </c>
      <c r="C103" s="165">
        <v>198500</v>
      </c>
      <c r="D103" s="165">
        <v>0</v>
      </c>
      <c r="E103" s="165">
        <v>0</v>
      </c>
      <c r="F103" s="165">
        <f ca="1">+C103-D103-E103+F102</f>
        <v>598900</v>
      </c>
      <c r="J103" s="183"/>
      <c r="K103" s="183"/>
    </row>
    <row r="104" spans="1:11" x14ac:dyDescent="0.25">
      <c r="A104" s="299"/>
      <c r="B104" s="164" t="s">
        <v>91</v>
      </c>
      <c r="C104" s="165">
        <v>330000</v>
      </c>
      <c r="D104" s="165">
        <v>0</v>
      </c>
      <c r="E104" s="165">
        <v>0</v>
      </c>
      <c r="F104" s="165">
        <f ca="1">+C104-D104-E104+F103</f>
        <v>928900</v>
      </c>
      <c r="J104" s="183"/>
      <c r="K104" s="183"/>
    </row>
    <row r="105" spans="1:11" x14ac:dyDescent="0.25">
      <c r="A105" s="299"/>
      <c r="B105" s="164" t="s">
        <v>92</v>
      </c>
      <c r="C105" s="165">
        <v>0</v>
      </c>
      <c r="D105" s="165">
        <v>357100</v>
      </c>
      <c r="E105" s="165">
        <v>0</v>
      </c>
      <c r="F105" s="165">
        <f ca="1">+C105-D105-E105+F104</f>
        <v>571800</v>
      </c>
      <c r="J105" s="183"/>
      <c r="K105" s="183"/>
    </row>
    <row r="106" spans="1:11" x14ac:dyDescent="0.25">
      <c r="A106" s="299"/>
      <c r="B106" s="164"/>
      <c r="C106" s="165">
        <v>0</v>
      </c>
      <c r="D106" s="165">
        <v>96800</v>
      </c>
      <c r="E106" s="165">
        <v>0</v>
      </c>
      <c r="F106" s="165">
        <f ca="1">+C106-D106-E106+F105</f>
        <v>475000</v>
      </c>
    </row>
    <row r="107" spans="1:11" x14ac:dyDescent="0.25">
      <c r="A107" s="300"/>
      <c r="B107" s="133" t="s">
        <v>156</v>
      </c>
      <c r="C107" s="186">
        <f ca="1">+SUMIF(ACCESORIOS!C211:D221,ACCESORIOS!H2,ACCESORIOS!D211:D221)</f>
        <v>0</v>
      </c>
      <c r="D107" s="186">
        <v>0</v>
      </c>
      <c r="E107" s="165">
        <v>0</v>
      </c>
      <c r="F107" s="165">
        <f ca="1">+C107-D107-E107+F106</f>
        <v>475000</v>
      </c>
    </row>
    <row r="108" spans="1:11" x14ac:dyDescent="0.25">
      <c r="A108" s="171" t="s">
        <v>58</v>
      </c>
      <c r="B108" s="184"/>
      <c r="C108" s="185">
        <f ca="1">SUM(C103:C107)</f>
        <v>528500</v>
      </c>
      <c r="D108" s="185">
        <f>SUM(D103:D107)</f>
        <v>453900</v>
      </c>
      <c r="E108" s="185">
        <f>SUM(E103:E107)</f>
        <v>0</v>
      </c>
      <c r="F108" s="185">
        <f ca="1">F107</f>
        <v>475000</v>
      </c>
    </row>
    <row r="109" spans="1:11" x14ac:dyDescent="0.25">
      <c r="A109" s="277">
        <v>18</v>
      </c>
      <c r="B109" s="164" t="s">
        <v>91</v>
      </c>
      <c r="C109" s="165">
        <v>143000</v>
      </c>
      <c r="D109" s="165">
        <v>0</v>
      </c>
      <c r="E109" s="165">
        <v>0</v>
      </c>
      <c r="F109" s="165">
        <f ca="1">+C109-D109-E109+F108</f>
        <v>618000</v>
      </c>
      <c r="J109" s="183"/>
    </row>
    <row r="110" spans="1:11" x14ac:dyDescent="0.25">
      <c r="A110" s="278"/>
      <c r="B110" s="164" t="s">
        <v>91</v>
      </c>
      <c r="C110" s="165">
        <v>468500</v>
      </c>
      <c r="D110" s="165">
        <v>0</v>
      </c>
      <c r="E110" s="165">
        <v>0</v>
      </c>
      <c r="F110" s="165">
        <f ca="1">+C110-D110-E110+F109</f>
        <v>1086500</v>
      </c>
      <c r="J110" s="183"/>
    </row>
    <row r="111" spans="1:11" x14ac:dyDescent="0.25">
      <c r="A111" s="278"/>
      <c r="B111" s="164" t="s">
        <v>92</v>
      </c>
      <c r="C111" s="165">
        <v>0</v>
      </c>
      <c r="D111" s="165">
        <v>354550</v>
      </c>
      <c r="E111" s="165">
        <v>0</v>
      </c>
      <c r="F111" s="165">
        <f ca="1">+C111-D111-E111+F110</f>
        <v>731950</v>
      </c>
      <c r="J111" s="183"/>
    </row>
    <row r="112" spans="1:11" x14ac:dyDescent="0.25">
      <c r="A112" s="278"/>
      <c r="B112" s="164"/>
      <c r="C112" s="165">
        <v>0</v>
      </c>
      <c r="D112" s="165">
        <v>0</v>
      </c>
      <c r="E112" s="165">
        <v>0</v>
      </c>
      <c r="F112" s="165">
        <f ca="1">+C112-D112-E112+F111</f>
        <v>731950</v>
      </c>
    </row>
    <row r="113" spans="1:13" x14ac:dyDescent="0.25">
      <c r="A113" s="279"/>
      <c r="B113" s="133" t="s">
        <v>156</v>
      </c>
      <c r="C113" s="186">
        <f ca="1">+SUMIF(ACCESORIOS!C224:D234,ACCESORIOS!H2,ACCESORIOS!D224:D234)</f>
        <v>0</v>
      </c>
      <c r="D113" s="186">
        <v>0</v>
      </c>
      <c r="E113" s="165">
        <v>0</v>
      </c>
      <c r="F113" s="165">
        <f ca="1">+C113-D113-E113+F112</f>
        <v>731950</v>
      </c>
    </row>
    <row r="114" spans="1:13" x14ac:dyDescent="0.25">
      <c r="A114" s="172" t="s">
        <v>58</v>
      </c>
      <c r="B114" s="169"/>
      <c r="C114" s="170">
        <f ca="1">SUM(C109:C113)</f>
        <v>611500</v>
      </c>
      <c r="D114" s="170">
        <f>SUM(D109:D113)</f>
        <v>354550</v>
      </c>
      <c r="E114" s="170">
        <f>SUM(E109:E113)</f>
        <v>0</v>
      </c>
      <c r="F114" s="170">
        <f ca="1">F113</f>
        <v>731950</v>
      </c>
    </row>
    <row r="115" spans="1:13" x14ac:dyDescent="0.25">
      <c r="A115" s="283">
        <v>19</v>
      </c>
      <c r="B115" s="164" t="s">
        <v>91</v>
      </c>
      <c r="C115" s="165">
        <v>316000</v>
      </c>
      <c r="D115" s="165">
        <v>0</v>
      </c>
      <c r="E115" s="165">
        <v>0</v>
      </c>
      <c r="F115" s="165">
        <f ca="1">+C115-D115-E115+F114</f>
        <v>1047950</v>
      </c>
    </row>
    <row r="116" spans="1:13" x14ac:dyDescent="0.25">
      <c r="A116" s="284"/>
      <c r="B116" s="164" t="s">
        <v>91</v>
      </c>
      <c r="C116" s="165">
        <v>276500</v>
      </c>
      <c r="D116" s="165">
        <v>0</v>
      </c>
      <c r="E116" s="165">
        <v>0</v>
      </c>
      <c r="F116" s="165">
        <f ca="1">+C116-D116-E116+F115</f>
        <v>1324450</v>
      </c>
    </row>
    <row r="117" spans="1:13" x14ac:dyDescent="0.25">
      <c r="A117" s="284"/>
      <c r="B117" s="164" t="s">
        <v>92</v>
      </c>
      <c r="C117" s="165">
        <v>0</v>
      </c>
      <c r="D117" s="165">
        <v>532000</v>
      </c>
      <c r="E117" s="165">
        <v>0</v>
      </c>
      <c r="F117" s="165">
        <f ca="1">+C117-D117-E117+F116</f>
        <v>792450</v>
      </c>
    </row>
    <row r="118" spans="1:13" x14ac:dyDescent="0.25">
      <c r="A118" s="284"/>
      <c r="B118" s="164"/>
      <c r="C118" s="165">
        <v>0</v>
      </c>
      <c r="D118" s="165">
        <v>395600</v>
      </c>
      <c r="E118" s="165">
        <v>0</v>
      </c>
      <c r="F118" s="165">
        <f ca="1">+C118-D118-E118+F117</f>
        <v>396850</v>
      </c>
    </row>
    <row r="119" spans="1:13" x14ac:dyDescent="0.25">
      <c r="A119" s="285"/>
      <c r="B119" s="133" t="s">
        <v>156</v>
      </c>
      <c r="C119" s="186">
        <f ca="1">+SUMIF(ACCESORIOS!C237:D247,ACCESORIOS!H2,ACCESORIOS!D237:D247)</f>
        <v>0</v>
      </c>
      <c r="D119" s="186">
        <v>0</v>
      </c>
      <c r="E119" s="165">
        <v>0</v>
      </c>
      <c r="F119" s="165">
        <f ca="1">+C119-D119-E119+F118</f>
        <v>396850</v>
      </c>
      <c r="K119" s="183"/>
      <c r="M119" s="183"/>
    </row>
    <row r="120" spans="1:13" x14ac:dyDescent="0.25">
      <c r="A120" s="172" t="s">
        <v>58</v>
      </c>
      <c r="B120" s="184"/>
      <c r="C120" s="170">
        <f ca="1">SUM(C115:C119)</f>
        <v>592500</v>
      </c>
      <c r="D120" s="170">
        <f>SUM(D115:D119)</f>
        <v>927600</v>
      </c>
      <c r="E120" s="170">
        <f>SUM(E115:E119)</f>
        <v>0</v>
      </c>
      <c r="F120" s="170">
        <f ca="1">F119</f>
        <v>396850</v>
      </c>
    </row>
    <row r="121" spans="1:13" x14ac:dyDescent="0.25">
      <c r="A121" s="280">
        <v>20</v>
      </c>
      <c r="B121" s="164" t="s">
        <v>91</v>
      </c>
      <c r="C121" s="165">
        <v>122000</v>
      </c>
      <c r="D121" s="165">
        <v>0</v>
      </c>
      <c r="E121" s="165">
        <v>0</v>
      </c>
      <c r="F121" s="165">
        <f ca="1">+C121-D121-E121+F120</f>
        <v>518850</v>
      </c>
    </row>
    <row r="122" spans="1:13" x14ac:dyDescent="0.25">
      <c r="A122" s="281"/>
      <c r="B122" s="164" t="s">
        <v>91</v>
      </c>
      <c r="C122" s="165">
        <v>749500</v>
      </c>
      <c r="D122" s="165">
        <v>0</v>
      </c>
      <c r="E122" s="165">
        <v>0</v>
      </c>
      <c r="F122" s="165">
        <f ca="1">+C122-D122-E122+F121</f>
        <v>1268350</v>
      </c>
    </row>
    <row r="123" spans="1:13" x14ac:dyDescent="0.25">
      <c r="A123" s="281"/>
      <c r="B123" s="164" t="s">
        <v>92</v>
      </c>
      <c r="C123" s="165">
        <v>0</v>
      </c>
      <c r="D123" s="165">
        <v>404800</v>
      </c>
      <c r="E123" s="165">
        <v>0</v>
      </c>
      <c r="F123" s="165">
        <f ca="1">+C123-D123-E123+F122</f>
        <v>863550</v>
      </c>
    </row>
    <row r="124" spans="1:13" x14ac:dyDescent="0.25">
      <c r="A124" s="281"/>
      <c r="B124" s="164"/>
      <c r="C124" s="165">
        <v>0</v>
      </c>
      <c r="D124" s="165">
        <v>0</v>
      </c>
      <c r="E124" s="165">
        <v>0</v>
      </c>
      <c r="F124" s="165">
        <f ca="1">+C124-D124-E124+F123</f>
        <v>863550</v>
      </c>
    </row>
    <row r="125" spans="1:13" x14ac:dyDescent="0.25">
      <c r="A125" s="282"/>
      <c r="B125" s="133" t="s">
        <v>156</v>
      </c>
      <c r="C125" s="186">
        <f ca="1">+SUMIF(ACCESORIOS!C250:D260,ACCESORIOS!H2,ACCESORIOS!D250:D260)</f>
        <v>0</v>
      </c>
      <c r="D125" s="186">
        <v>0</v>
      </c>
      <c r="E125" s="165">
        <v>0</v>
      </c>
      <c r="F125" s="165">
        <f ca="1">+C125-D125-E125+F124</f>
        <v>863550</v>
      </c>
    </row>
    <row r="126" spans="1:13" x14ac:dyDescent="0.25">
      <c r="A126" s="172" t="s">
        <v>58</v>
      </c>
      <c r="B126" s="169"/>
      <c r="C126" s="185">
        <f ca="1">SUM(C121:C125)</f>
        <v>871500</v>
      </c>
      <c r="D126" s="185">
        <f>SUM(D121:D125)</f>
        <v>404800</v>
      </c>
      <c r="E126" s="185">
        <f>SUM(E121:E125)</f>
        <v>0</v>
      </c>
      <c r="F126" s="185">
        <f ca="1">F125</f>
        <v>863550</v>
      </c>
    </row>
    <row r="127" spans="1:13" x14ac:dyDescent="0.25">
      <c r="A127" s="286">
        <v>21</v>
      </c>
      <c r="B127" s="164" t="s">
        <v>91</v>
      </c>
      <c r="C127" s="165">
        <v>336400</v>
      </c>
      <c r="D127" s="165">
        <v>0</v>
      </c>
      <c r="E127" s="165">
        <v>0</v>
      </c>
      <c r="F127" s="165">
        <f ca="1">+C127-D127-E127+F126</f>
        <v>1199950</v>
      </c>
      <c r="K127" s="183"/>
    </row>
    <row r="128" spans="1:13" x14ac:dyDescent="0.25">
      <c r="A128" s="287"/>
      <c r="B128" s="164" t="s">
        <v>91</v>
      </c>
      <c r="C128" s="165">
        <v>884500</v>
      </c>
      <c r="D128" s="165">
        <v>0</v>
      </c>
      <c r="E128" s="165">
        <v>0</v>
      </c>
      <c r="F128" s="165">
        <f ca="1">+C128-D128-E128+F127</f>
        <v>2084450</v>
      </c>
      <c r="K128" s="183"/>
    </row>
    <row r="129" spans="1:11" x14ac:dyDescent="0.25">
      <c r="A129" s="287"/>
      <c r="B129" s="164" t="s">
        <v>92</v>
      </c>
      <c r="C129" s="165">
        <v>0</v>
      </c>
      <c r="D129" s="165">
        <v>542900</v>
      </c>
      <c r="E129" s="165">
        <v>0</v>
      </c>
      <c r="F129" s="165">
        <f ca="1">+C129-D129-E129+F128</f>
        <v>1541550</v>
      </c>
      <c r="K129" s="183"/>
    </row>
    <row r="130" spans="1:11" x14ac:dyDescent="0.25">
      <c r="A130" s="287"/>
      <c r="B130" s="164"/>
      <c r="C130" s="165">
        <v>0</v>
      </c>
      <c r="D130" s="165">
        <f>83400+1700</f>
        <v>85100</v>
      </c>
      <c r="E130" s="165">
        <v>0</v>
      </c>
      <c r="F130" s="165">
        <f ca="1">+C130-D130-E130+F129</f>
        <v>1456450</v>
      </c>
      <c r="K130" s="183"/>
    </row>
    <row r="131" spans="1:11" x14ac:dyDescent="0.25">
      <c r="A131" s="288"/>
      <c r="B131" s="133" t="s">
        <v>156</v>
      </c>
      <c r="C131" s="186">
        <f ca="1">+SUMIF(ACCESORIOS!C263:D273,ACCESORIOS!H2,ACCESORIOS!D263:D273)</f>
        <v>30000</v>
      </c>
      <c r="D131" s="186">
        <v>0</v>
      </c>
      <c r="E131" s="165">
        <v>0</v>
      </c>
      <c r="F131" s="165">
        <f ca="1">+C131-D131-E131+F130</f>
        <v>1486450</v>
      </c>
      <c r="J131" s="183"/>
      <c r="K131" s="183"/>
    </row>
    <row r="132" spans="1:11" x14ac:dyDescent="0.25">
      <c r="A132" s="184" t="s">
        <v>58</v>
      </c>
      <c r="B132" s="184"/>
      <c r="C132" s="185">
        <f ca="1">SUM(C127:C131)</f>
        <v>1250900</v>
      </c>
      <c r="D132" s="185">
        <f>SUM(D127:D131)</f>
        <v>628000</v>
      </c>
      <c r="E132" s="185">
        <f>SUM(E127:E131)</f>
        <v>0</v>
      </c>
      <c r="F132" s="185">
        <f ca="1">F131</f>
        <v>1486450</v>
      </c>
      <c r="K132" s="183"/>
    </row>
    <row r="133" spans="1:11" x14ac:dyDescent="0.25">
      <c r="A133" s="265">
        <v>22</v>
      </c>
      <c r="B133" s="164" t="s">
        <v>91</v>
      </c>
      <c r="C133" s="165">
        <v>207700</v>
      </c>
      <c r="D133" s="165">
        <v>0</v>
      </c>
      <c r="E133" s="165">
        <v>0</v>
      </c>
      <c r="F133" s="165">
        <f ca="1">+C133-D133-E133+F132</f>
        <v>1694150</v>
      </c>
      <c r="K133" s="183"/>
    </row>
    <row r="134" spans="1:11" x14ac:dyDescent="0.25">
      <c r="A134" s="266"/>
      <c r="B134" s="164" t="s">
        <v>91</v>
      </c>
      <c r="C134" s="165">
        <v>258000</v>
      </c>
      <c r="D134" s="165">
        <v>0</v>
      </c>
      <c r="E134" s="165">
        <v>0</v>
      </c>
      <c r="F134" s="165">
        <f ca="1">+C134-D134-E134+F133</f>
        <v>1952150</v>
      </c>
      <c r="K134" s="183"/>
    </row>
    <row r="135" spans="1:11" x14ac:dyDescent="0.25">
      <c r="A135" s="266"/>
      <c r="B135" s="164" t="s">
        <v>92</v>
      </c>
      <c r="C135" s="165">
        <v>0</v>
      </c>
      <c r="D135" s="165">
        <v>848500</v>
      </c>
      <c r="E135" s="165">
        <v>0</v>
      </c>
      <c r="F135" s="165">
        <f ca="1">+C135-D135-E135+F134</f>
        <v>1103650</v>
      </c>
      <c r="K135" s="183"/>
    </row>
    <row r="136" spans="1:11" x14ac:dyDescent="0.25">
      <c r="A136" s="266"/>
      <c r="B136" s="164" t="s">
        <v>161</v>
      </c>
      <c r="C136" s="165">
        <v>0</v>
      </c>
      <c r="D136" s="165">
        <v>200000</v>
      </c>
      <c r="E136" s="165">
        <v>0</v>
      </c>
      <c r="F136" s="165">
        <f ca="1">+C136-D136-E136+F135</f>
        <v>903650</v>
      </c>
    </row>
    <row r="137" spans="1:11" x14ac:dyDescent="0.25">
      <c r="A137" s="267"/>
      <c r="B137" s="133" t="s">
        <v>156</v>
      </c>
      <c r="C137" s="186">
        <f ca="1">+SUMIF(ACCESORIOS!C276:D286,ACCESORIOS!H2,ACCESORIOS!D276:D286)</f>
        <v>0</v>
      </c>
      <c r="D137" s="186">
        <v>0</v>
      </c>
      <c r="E137" s="165">
        <v>0</v>
      </c>
      <c r="F137" s="165">
        <f ca="1">+C137-D137-E137+F136</f>
        <v>903650</v>
      </c>
    </row>
    <row r="138" spans="1:11" x14ac:dyDescent="0.25">
      <c r="A138" s="172" t="s">
        <v>58</v>
      </c>
      <c r="B138" s="169"/>
      <c r="C138" s="185">
        <f ca="1">SUM(C133:C137)</f>
        <v>465700</v>
      </c>
      <c r="D138" s="185">
        <f>SUM(D133:D137)</f>
        <v>1048500</v>
      </c>
      <c r="E138" s="185">
        <f>SUM(E133:E137)</f>
        <v>0</v>
      </c>
      <c r="F138" s="185">
        <f ca="1">F137</f>
        <v>903650</v>
      </c>
    </row>
    <row r="139" spans="1:11" x14ac:dyDescent="0.25">
      <c r="A139" s="289">
        <v>23</v>
      </c>
      <c r="B139" s="164" t="s">
        <v>91</v>
      </c>
      <c r="C139" s="165">
        <v>122500</v>
      </c>
      <c r="D139" s="165">
        <v>0</v>
      </c>
      <c r="E139" s="165">
        <v>0</v>
      </c>
      <c r="F139" s="165">
        <f ca="1">+C139-D139-E139+F138</f>
        <v>1026150</v>
      </c>
      <c r="J139" s="183"/>
    </row>
    <row r="140" spans="1:11" x14ac:dyDescent="0.25">
      <c r="A140" s="290"/>
      <c r="B140" s="164" t="s">
        <v>91</v>
      </c>
      <c r="C140" s="165">
        <v>256000</v>
      </c>
      <c r="D140" s="165">
        <v>0</v>
      </c>
      <c r="E140" s="165">
        <v>0</v>
      </c>
      <c r="F140" s="165">
        <f ca="1">+C140-D140-E140+F139</f>
        <v>1282150</v>
      </c>
      <c r="J140" s="183"/>
    </row>
    <row r="141" spans="1:11" x14ac:dyDescent="0.25">
      <c r="A141" s="290"/>
      <c r="B141" s="164" t="s">
        <v>92</v>
      </c>
      <c r="C141" s="165">
        <v>0</v>
      </c>
      <c r="D141" s="165">
        <v>438000</v>
      </c>
      <c r="E141" s="165">
        <v>0</v>
      </c>
      <c r="F141" s="165">
        <f ca="1">+C141-D141-E141+F140</f>
        <v>844150</v>
      </c>
      <c r="J141" s="183"/>
    </row>
    <row r="142" spans="1:11" x14ac:dyDescent="0.25">
      <c r="A142" s="290"/>
      <c r="B142" s="164"/>
      <c r="C142" s="165">
        <v>0</v>
      </c>
      <c r="D142" s="165">
        <v>0</v>
      </c>
      <c r="E142" s="165">
        <v>0</v>
      </c>
      <c r="F142" s="165">
        <f ca="1">+C142-D142-E142+F141</f>
        <v>844150</v>
      </c>
    </row>
    <row r="143" spans="1:11" x14ac:dyDescent="0.25">
      <c r="A143" s="291"/>
      <c r="B143" s="133" t="s">
        <v>156</v>
      </c>
      <c r="C143" s="186">
        <f ca="1">+SUMIF(ACCESORIOS!C289:D299,ACCESORIOS!H2,ACCESORIOS!D289:D299)</f>
        <v>0</v>
      </c>
      <c r="D143" s="186">
        <v>0</v>
      </c>
      <c r="E143" s="165">
        <v>0</v>
      </c>
      <c r="F143" s="165">
        <f ca="1">+C143-D143-E143+F142</f>
        <v>844150</v>
      </c>
    </row>
    <row r="144" spans="1:11" x14ac:dyDescent="0.25">
      <c r="A144" s="184" t="s">
        <v>58</v>
      </c>
      <c r="B144" s="184"/>
      <c r="C144" s="185">
        <f ca="1">SUM(C139:C143)</f>
        <v>378500</v>
      </c>
      <c r="D144" s="185">
        <f>SUM(D139:D143)</f>
        <v>438000</v>
      </c>
      <c r="E144" s="185">
        <f>SUM(E139:E143)</f>
        <v>0</v>
      </c>
      <c r="F144" s="185">
        <f ca="1">F143</f>
        <v>844150</v>
      </c>
    </row>
    <row r="145" spans="1:10" x14ac:dyDescent="0.25">
      <c r="A145" s="271">
        <v>24</v>
      </c>
      <c r="B145" s="164" t="s">
        <v>91</v>
      </c>
      <c r="C145" s="165">
        <v>166000</v>
      </c>
      <c r="D145" s="165">
        <v>0</v>
      </c>
      <c r="E145" s="165">
        <v>0</v>
      </c>
      <c r="F145" s="165">
        <f ca="1">+C145-D145-E145+F144</f>
        <v>1010150</v>
      </c>
    </row>
    <row r="146" spans="1:10" x14ac:dyDescent="0.25">
      <c r="A146" s="272"/>
      <c r="B146" s="164" t="s">
        <v>91</v>
      </c>
      <c r="C146" s="165">
        <v>338000</v>
      </c>
      <c r="D146" s="165">
        <v>0</v>
      </c>
      <c r="E146" s="165">
        <v>0</v>
      </c>
      <c r="F146" s="165">
        <f ca="1">+C146-D146-E146+F145</f>
        <v>1348150</v>
      </c>
    </row>
    <row r="147" spans="1:10" x14ac:dyDescent="0.25">
      <c r="A147" s="272"/>
      <c r="B147" s="164" t="s">
        <v>92</v>
      </c>
      <c r="C147" s="165">
        <v>0</v>
      </c>
      <c r="D147" s="165">
        <v>409300</v>
      </c>
      <c r="E147" s="165">
        <v>0</v>
      </c>
      <c r="F147" s="165">
        <f ca="1">+C147-D147-E147+F146</f>
        <v>938850</v>
      </c>
    </row>
    <row r="148" spans="1:10" x14ac:dyDescent="0.25">
      <c r="A148" s="272"/>
      <c r="B148" s="164"/>
      <c r="C148" s="165">
        <v>0</v>
      </c>
      <c r="D148" s="165">
        <v>730650</v>
      </c>
      <c r="E148" s="165">
        <v>0</v>
      </c>
      <c r="F148" s="165">
        <f ca="1">+C148-D148-E148+F147</f>
        <v>208200</v>
      </c>
    </row>
    <row r="149" spans="1:10" x14ac:dyDescent="0.25">
      <c r="A149" s="273"/>
      <c r="B149" s="133" t="s">
        <v>156</v>
      </c>
      <c r="C149" s="186">
        <f ca="1">+SUMIF(ACCESORIOS!C302:D312,ACCESORIOS!H2,ACCESORIOS!D302:D312)</f>
        <v>24000</v>
      </c>
      <c r="D149" s="186">
        <v>0</v>
      </c>
      <c r="E149" s="165">
        <v>0</v>
      </c>
      <c r="F149" s="165">
        <f ca="1">+C149-D149-E149+F148</f>
        <v>232200</v>
      </c>
    </row>
    <row r="150" spans="1:10" x14ac:dyDescent="0.25">
      <c r="A150" s="184" t="s">
        <v>58</v>
      </c>
      <c r="B150" s="169"/>
      <c r="C150" s="185">
        <f ca="1">SUM(C145:C149)</f>
        <v>528000</v>
      </c>
      <c r="D150" s="185">
        <f>SUM(D145:D149)</f>
        <v>1139950</v>
      </c>
      <c r="E150" s="185">
        <f>SUM(E145:E149)</f>
        <v>0</v>
      </c>
      <c r="F150" s="185">
        <f ca="1">F149</f>
        <v>232200</v>
      </c>
    </row>
    <row r="151" spans="1:10" x14ac:dyDescent="0.25">
      <c r="A151" s="274">
        <v>25</v>
      </c>
      <c r="B151" s="164" t="s">
        <v>91</v>
      </c>
      <c r="C151" s="165">
        <v>128000</v>
      </c>
      <c r="D151" s="165">
        <v>0</v>
      </c>
      <c r="E151" s="165">
        <v>0</v>
      </c>
      <c r="F151" s="165">
        <f ca="1">+C151-D151-E151+F150</f>
        <v>360200</v>
      </c>
      <c r="J151" s="183"/>
    </row>
    <row r="152" spans="1:10" x14ac:dyDescent="0.25">
      <c r="A152" s="275"/>
      <c r="B152" s="164" t="s">
        <v>91</v>
      </c>
      <c r="C152" s="165">
        <v>278500</v>
      </c>
      <c r="D152" s="165">
        <v>0</v>
      </c>
      <c r="E152" s="165">
        <v>0</v>
      </c>
      <c r="F152" s="165">
        <f ca="1">+C152-D152-E152+F151</f>
        <v>638700</v>
      </c>
      <c r="J152" s="183"/>
    </row>
    <row r="153" spans="1:10" x14ac:dyDescent="0.25">
      <c r="A153" s="275"/>
      <c r="B153" s="164" t="s">
        <v>92</v>
      </c>
      <c r="C153" s="165">
        <v>0</v>
      </c>
      <c r="D153" s="165">
        <v>458700</v>
      </c>
      <c r="E153" s="165">
        <v>0</v>
      </c>
      <c r="F153" s="165">
        <f ca="1">+C153-D153-E153+F152</f>
        <v>180000</v>
      </c>
      <c r="J153" s="183"/>
    </row>
    <row r="154" spans="1:10" x14ac:dyDescent="0.25">
      <c r="A154" s="275"/>
      <c r="B154" s="164"/>
      <c r="C154" s="165">
        <v>0</v>
      </c>
      <c r="D154" s="165">
        <v>50000</v>
      </c>
      <c r="E154" s="165">
        <v>0</v>
      </c>
      <c r="F154" s="165">
        <f ca="1">+C154-D154-E154+F153</f>
        <v>130000</v>
      </c>
    </row>
    <row r="155" spans="1:10" x14ac:dyDescent="0.25">
      <c r="A155" s="276"/>
      <c r="B155" s="133" t="s">
        <v>156</v>
      </c>
      <c r="C155" s="186">
        <f ca="1">+SUMIF(ACCESORIOS!C315:D325,ACCESORIOS!H2,ACCESORIOS!D315:D325)</f>
        <v>0</v>
      </c>
      <c r="D155" s="186">
        <v>0</v>
      </c>
      <c r="E155" s="165">
        <v>0</v>
      </c>
      <c r="F155" s="165">
        <f ca="1">+C155-D155-E155+F154</f>
        <v>130000</v>
      </c>
      <c r="J155" s="183"/>
    </row>
    <row r="156" spans="1:10" x14ac:dyDescent="0.25">
      <c r="A156" s="184" t="s">
        <v>58</v>
      </c>
      <c r="B156" s="184"/>
      <c r="C156" s="185">
        <f ca="1">SUM(C151:C155)</f>
        <v>406500</v>
      </c>
      <c r="D156" s="185">
        <f>SUM(D151:D155)</f>
        <v>508700</v>
      </c>
      <c r="E156" s="185">
        <f>SUM(E151:E155)</f>
        <v>0</v>
      </c>
      <c r="F156" s="185">
        <f ca="1">F155</f>
        <v>130000</v>
      </c>
    </row>
    <row r="157" spans="1:10" x14ac:dyDescent="0.25">
      <c r="A157" s="277">
        <v>26</v>
      </c>
      <c r="B157" s="164" t="s">
        <v>91</v>
      </c>
      <c r="C157" s="165">
        <v>116000</v>
      </c>
      <c r="D157" s="165">
        <v>0</v>
      </c>
      <c r="E157" s="165">
        <v>0</v>
      </c>
      <c r="F157" s="165">
        <f ca="1">+C157-D157-E157+F156</f>
        <v>246000</v>
      </c>
    </row>
    <row r="158" spans="1:10" x14ac:dyDescent="0.25">
      <c r="A158" s="278"/>
      <c r="B158" s="164" t="s">
        <v>91</v>
      </c>
      <c r="C158" s="165">
        <v>376500</v>
      </c>
      <c r="D158" s="165">
        <v>0</v>
      </c>
      <c r="E158" s="165">
        <v>0</v>
      </c>
      <c r="F158" s="165">
        <f ca="1">+C158-D158-E158+F157</f>
        <v>622500</v>
      </c>
    </row>
    <row r="159" spans="1:10" x14ac:dyDescent="0.25">
      <c r="A159" s="278"/>
      <c r="B159" s="164" t="s">
        <v>92</v>
      </c>
      <c r="C159" s="165">
        <v>0</v>
      </c>
      <c r="D159" s="165">
        <v>497500</v>
      </c>
      <c r="E159" s="165">
        <v>0</v>
      </c>
      <c r="F159" s="165">
        <f ca="1">+C159-D159-E159+F158</f>
        <v>125000</v>
      </c>
    </row>
    <row r="160" spans="1:10" x14ac:dyDescent="0.25">
      <c r="A160" s="278"/>
      <c r="B160" s="164" t="s">
        <v>161</v>
      </c>
      <c r="C160" s="165">
        <v>0</v>
      </c>
      <c r="D160" s="165">
        <v>20000</v>
      </c>
      <c r="E160" s="165">
        <v>0</v>
      </c>
      <c r="F160" s="165">
        <f ca="1">+C160-D160-E160+F159</f>
        <v>105000</v>
      </c>
    </row>
    <row r="161" spans="1:8" x14ac:dyDescent="0.25">
      <c r="A161" s="279"/>
      <c r="B161" s="133" t="s">
        <v>156</v>
      </c>
      <c r="C161" s="186">
        <f ca="1">+SUMIF(ACCESORIOS!C328:D338,ACCESORIOS!H2,ACCESORIOS!D328:D338)</f>
        <v>24000</v>
      </c>
      <c r="D161" s="186">
        <v>0</v>
      </c>
      <c r="E161" s="165">
        <v>0</v>
      </c>
      <c r="F161" s="165">
        <f ca="1">+C161-D161-E161+F160</f>
        <v>129000</v>
      </c>
    </row>
    <row r="162" spans="1:8" x14ac:dyDescent="0.25">
      <c r="A162" s="172" t="s">
        <v>58</v>
      </c>
      <c r="B162" s="169"/>
      <c r="C162" s="185">
        <f ca="1">SUM(C157:C161)</f>
        <v>516500</v>
      </c>
      <c r="D162" s="185">
        <f>SUM(D157:D161)</f>
        <v>517500</v>
      </c>
      <c r="E162" s="185">
        <f>SUM(E157:E161)</f>
        <v>0</v>
      </c>
      <c r="F162" s="185">
        <f ca="1">F161</f>
        <v>129000</v>
      </c>
    </row>
    <row r="163" spans="1:8" x14ac:dyDescent="0.25">
      <c r="A163" s="280">
        <v>27</v>
      </c>
      <c r="B163" s="164" t="s">
        <v>91</v>
      </c>
      <c r="C163" s="165">
        <v>100000</v>
      </c>
      <c r="D163" s="165">
        <v>0</v>
      </c>
      <c r="E163" s="165">
        <v>0</v>
      </c>
      <c r="F163" s="165">
        <f ca="1">+C163-D163-E163+F162</f>
        <v>229000</v>
      </c>
    </row>
    <row r="164" spans="1:8" x14ac:dyDescent="0.25">
      <c r="A164" s="281"/>
      <c r="B164" s="164" t="s">
        <v>91</v>
      </c>
      <c r="C164" s="165">
        <v>171000</v>
      </c>
      <c r="D164" s="165">
        <v>0</v>
      </c>
      <c r="E164" s="165">
        <v>0</v>
      </c>
      <c r="F164" s="165">
        <f ca="1">+C164-D164-E164+F163</f>
        <v>400000</v>
      </c>
    </row>
    <row r="165" spans="1:8" x14ac:dyDescent="0.25">
      <c r="A165" s="281"/>
      <c r="B165" s="164" t="s">
        <v>92</v>
      </c>
      <c r="C165" s="165">
        <v>0</v>
      </c>
      <c r="D165" s="165">
        <v>347900</v>
      </c>
      <c r="E165" s="165">
        <v>0</v>
      </c>
      <c r="F165" s="165">
        <f ca="1">+C165-D165-E165+F164</f>
        <v>52100</v>
      </c>
    </row>
    <row r="166" spans="1:8" x14ac:dyDescent="0.25">
      <c r="A166" s="281"/>
      <c r="B166" s="164"/>
      <c r="C166" s="165">
        <v>0</v>
      </c>
      <c r="D166" s="165">
        <v>0</v>
      </c>
      <c r="E166" s="165">
        <v>0</v>
      </c>
      <c r="F166" s="165">
        <f ca="1">+C166-D166-E166+F165</f>
        <v>52100</v>
      </c>
    </row>
    <row r="167" spans="1:8" x14ac:dyDescent="0.25">
      <c r="A167" s="282"/>
      <c r="B167" s="133" t="s">
        <v>156</v>
      </c>
      <c r="C167" s="186">
        <f ca="1">+SUMIF(ACCESORIOS!C341:D351,ACCESORIOS!H2,ACCESORIOS!D341:D351)</f>
        <v>0</v>
      </c>
      <c r="D167" s="165">
        <v>0</v>
      </c>
      <c r="E167" s="165">
        <v>0</v>
      </c>
      <c r="F167" s="165">
        <f ca="1">+C167-D167-E167+F166</f>
        <v>52100</v>
      </c>
    </row>
    <row r="168" spans="1:8" x14ac:dyDescent="0.25">
      <c r="A168" s="184" t="s">
        <v>58</v>
      </c>
      <c r="B168" s="184"/>
      <c r="C168" s="185">
        <f ca="1">SUM(C163:C167)</f>
        <v>271000</v>
      </c>
      <c r="D168" s="185">
        <f>SUM(D163:D167)</f>
        <v>347900</v>
      </c>
      <c r="E168" s="185">
        <f>SUM(E163:E167)</f>
        <v>0</v>
      </c>
      <c r="F168" s="185">
        <f ca="1">F167</f>
        <v>52100</v>
      </c>
    </row>
    <row r="169" spans="1:8" x14ac:dyDescent="0.25">
      <c r="A169" s="283">
        <v>28</v>
      </c>
      <c r="B169" s="164" t="s">
        <v>91</v>
      </c>
      <c r="C169" s="165">
        <v>113000</v>
      </c>
      <c r="D169" s="165">
        <v>0</v>
      </c>
      <c r="E169" s="165">
        <v>0</v>
      </c>
      <c r="F169" s="165">
        <f ca="1">+C169-D169-E169+F168</f>
        <v>165100</v>
      </c>
    </row>
    <row r="170" spans="1:8" x14ac:dyDescent="0.25">
      <c r="A170" s="284"/>
      <c r="B170" s="164" t="s">
        <v>91</v>
      </c>
      <c r="C170" s="165">
        <v>565000</v>
      </c>
      <c r="D170" s="165">
        <v>0</v>
      </c>
      <c r="E170" s="165">
        <v>0</v>
      </c>
      <c r="F170" s="165">
        <f ca="1">+C170-D170-E170+F169</f>
        <v>730100</v>
      </c>
    </row>
    <row r="171" spans="1:8" x14ac:dyDescent="0.25">
      <c r="A171" s="284"/>
      <c r="B171" s="164" t="s">
        <v>92</v>
      </c>
      <c r="C171" s="165">
        <v>0</v>
      </c>
      <c r="D171" s="165">
        <v>373900</v>
      </c>
      <c r="E171" s="165">
        <v>0</v>
      </c>
      <c r="F171" s="165">
        <f ca="1">+C171-D171-E171+F170</f>
        <v>356200</v>
      </c>
    </row>
    <row r="172" spans="1:8" x14ac:dyDescent="0.25">
      <c r="A172" s="284"/>
      <c r="B172" s="164"/>
      <c r="C172" s="165">
        <v>0</v>
      </c>
      <c r="D172" s="165">
        <v>0</v>
      </c>
      <c r="E172" s="165">
        <v>0</v>
      </c>
      <c r="F172" s="165">
        <f ca="1">+C172-D172-E172+F171</f>
        <v>356200</v>
      </c>
    </row>
    <row r="173" spans="1:8" x14ac:dyDescent="0.25">
      <c r="A173" s="285"/>
      <c r="B173" s="133" t="s">
        <v>156</v>
      </c>
      <c r="C173" s="186">
        <f ca="1">+SUMIF(ACCESORIOS!C354:D364,ACCESORIOS!H2,ACCESORIOS!D354:D364)</f>
        <v>0</v>
      </c>
      <c r="D173" s="186">
        <v>0</v>
      </c>
      <c r="E173" s="165">
        <v>0</v>
      </c>
      <c r="F173" s="165">
        <f ca="1">+C173-D173-E173+F172</f>
        <v>356200</v>
      </c>
    </row>
    <row r="174" spans="1:8" x14ac:dyDescent="0.25">
      <c r="A174" s="184" t="s">
        <v>58</v>
      </c>
      <c r="B174" s="169"/>
      <c r="C174" s="185">
        <f ca="1">SUM(C169:C173)</f>
        <v>678000</v>
      </c>
      <c r="D174" s="185">
        <f>SUM(D169:D173)</f>
        <v>373900</v>
      </c>
      <c r="E174" s="185">
        <f>SUM(E169:E173)</f>
        <v>0</v>
      </c>
      <c r="F174" s="185">
        <f ca="1">F173</f>
        <v>356200</v>
      </c>
      <c r="H174" s="215"/>
    </row>
    <row r="175" spans="1:8" x14ac:dyDescent="0.25">
      <c r="A175" s="271">
        <v>29</v>
      </c>
      <c r="B175" s="164" t="s">
        <v>91</v>
      </c>
      <c r="C175" s="165">
        <v>161000</v>
      </c>
      <c r="D175" s="165">
        <v>0</v>
      </c>
      <c r="E175" s="165">
        <v>0</v>
      </c>
      <c r="F175" s="165">
        <f ca="1">+C175-D175-E175+F174</f>
        <v>517200</v>
      </c>
    </row>
    <row r="176" spans="1:8" x14ac:dyDescent="0.25">
      <c r="A176" s="272"/>
      <c r="B176" s="164" t="s">
        <v>91</v>
      </c>
      <c r="C176" s="165">
        <v>401000</v>
      </c>
      <c r="D176" s="165">
        <v>0</v>
      </c>
      <c r="E176" s="165">
        <v>0</v>
      </c>
      <c r="F176" s="165">
        <f ca="1">+C176-D176-E176+F175</f>
        <v>918200</v>
      </c>
    </row>
    <row r="177" spans="1:6" x14ac:dyDescent="0.25">
      <c r="A177" s="272"/>
      <c r="B177" s="164" t="s">
        <v>92</v>
      </c>
      <c r="C177" s="165">
        <v>0</v>
      </c>
      <c r="D177" s="165">
        <v>367400</v>
      </c>
      <c r="E177" s="165">
        <v>0</v>
      </c>
      <c r="F177" s="165">
        <f ca="1">+C177-D177-E177+F176</f>
        <v>550800</v>
      </c>
    </row>
    <row r="178" spans="1:6" x14ac:dyDescent="0.25">
      <c r="A178" s="272"/>
      <c r="B178" s="164"/>
      <c r="C178" s="165">
        <v>0</v>
      </c>
      <c r="D178" s="165">
        <v>71000</v>
      </c>
      <c r="E178" s="165">
        <v>0</v>
      </c>
      <c r="F178" s="165">
        <f ca="1">+C178-D178-E178+F177</f>
        <v>479800</v>
      </c>
    </row>
    <row r="179" spans="1:6" x14ac:dyDescent="0.25">
      <c r="A179" s="273"/>
      <c r="B179" s="133" t="s">
        <v>156</v>
      </c>
      <c r="C179" s="186">
        <f ca="1">+SUMIF(ACCESORIOS!C367:D377,ACCESORIOS!H2,ACCESORIOS!D367:D377)</f>
        <v>0</v>
      </c>
      <c r="D179" s="186">
        <v>0</v>
      </c>
      <c r="E179" s="186">
        <v>0</v>
      </c>
      <c r="F179" s="165">
        <f ca="1">+C179-D179-E179+F178</f>
        <v>479800</v>
      </c>
    </row>
    <row r="180" spans="1:6" x14ac:dyDescent="0.25">
      <c r="A180" s="184" t="s">
        <v>58</v>
      </c>
      <c r="B180" s="184"/>
      <c r="C180" s="185">
        <f ca="1">SUM(C175:C179)</f>
        <v>562000</v>
      </c>
      <c r="D180" s="185">
        <f>SUM(D175:D179)</f>
        <v>438400</v>
      </c>
      <c r="E180" s="185">
        <f>SUM(E175:E179)</f>
        <v>0</v>
      </c>
      <c r="F180" s="185">
        <f ca="1">F179</f>
        <v>479800</v>
      </c>
    </row>
    <row r="181" spans="1:6" x14ac:dyDescent="0.25">
      <c r="A181" s="265">
        <v>30</v>
      </c>
      <c r="B181" s="164" t="s">
        <v>91</v>
      </c>
      <c r="C181" s="165">
        <v>188000</v>
      </c>
      <c r="D181" s="165">
        <v>0</v>
      </c>
      <c r="E181" s="165">
        <v>0</v>
      </c>
      <c r="F181" s="165">
        <f ca="1">+C181-D181-E181+F180</f>
        <v>667800</v>
      </c>
    </row>
    <row r="182" spans="1:6" x14ac:dyDescent="0.25">
      <c r="A182" s="266"/>
      <c r="B182" s="164" t="s">
        <v>91</v>
      </c>
      <c r="C182" s="165">
        <v>304000</v>
      </c>
      <c r="D182" s="165">
        <v>0</v>
      </c>
      <c r="E182" s="165">
        <v>0</v>
      </c>
      <c r="F182" s="165">
        <f ca="1">+C182-D182-E182+F181</f>
        <v>971800</v>
      </c>
    </row>
    <row r="183" spans="1:6" x14ac:dyDescent="0.25">
      <c r="A183" s="266"/>
      <c r="B183" s="164" t="s">
        <v>92</v>
      </c>
      <c r="C183" s="165">
        <v>0</v>
      </c>
      <c r="D183" s="165">
        <v>497900</v>
      </c>
      <c r="E183" s="165">
        <v>0</v>
      </c>
      <c r="F183" s="165">
        <f ca="1">+C183-D183-E183+F182</f>
        <v>473900</v>
      </c>
    </row>
    <row r="184" spans="1:6" x14ac:dyDescent="0.25">
      <c r="A184" s="266"/>
      <c r="B184" s="164"/>
      <c r="C184" s="165">
        <v>0</v>
      </c>
      <c r="D184" s="165">
        <v>130200</v>
      </c>
      <c r="E184" s="165">
        <v>0</v>
      </c>
      <c r="F184" s="165">
        <f ca="1">+C184-D184-E184+F183</f>
        <v>343700</v>
      </c>
    </row>
    <row r="185" spans="1:6" x14ac:dyDescent="0.25">
      <c r="A185" s="267"/>
      <c r="B185" s="133" t="s">
        <v>156</v>
      </c>
      <c r="C185" s="186">
        <f ca="1">+SUMIF(ACCESORIOS!C380:D390,ACCESORIOS!H2,ACCESORIOS!D380:D390)</f>
        <v>0</v>
      </c>
      <c r="D185" s="186">
        <v>0</v>
      </c>
      <c r="E185" s="165">
        <v>0</v>
      </c>
      <c r="F185" s="165">
        <f ca="1">+C185-D185-E185+F184</f>
        <v>343700</v>
      </c>
    </row>
    <row r="186" spans="1:6" x14ac:dyDescent="0.25">
      <c r="A186" s="172" t="s">
        <v>58</v>
      </c>
      <c r="B186" s="169"/>
      <c r="C186" s="185">
        <f ca="1">SUM(C181:C185)</f>
        <v>492000</v>
      </c>
      <c r="D186" s="185">
        <f>SUM(D181:D185)</f>
        <v>628100</v>
      </c>
      <c r="E186" s="185">
        <f>SUM(E181:E185)</f>
        <v>0</v>
      </c>
      <c r="F186" s="185">
        <f ca="1">F185</f>
        <v>343700</v>
      </c>
    </row>
    <row r="187" spans="1:6" x14ac:dyDescent="0.25">
      <c r="A187" s="268">
        <v>31</v>
      </c>
      <c r="B187" s="164" t="s">
        <v>91</v>
      </c>
      <c r="C187" s="165">
        <v>0</v>
      </c>
      <c r="D187" s="165">
        <v>0</v>
      </c>
      <c r="E187" s="165">
        <v>0</v>
      </c>
      <c r="F187" s="165">
        <f ca="1">+C187-D187-E187+F186</f>
        <v>343700</v>
      </c>
    </row>
    <row r="188" spans="1:6" x14ac:dyDescent="0.25">
      <c r="A188" s="269"/>
      <c r="B188" s="164" t="s">
        <v>91</v>
      </c>
      <c r="C188" s="165">
        <v>0</v>
      </c>
      <c r="D188" s="165">
        <v>0</v>
      </c>
      <c r="E188" s="165">
        <v>0</v>
      </c>
      <c r="F188" s="165">
        <f ca="1">+C188-D188-E188+F187</f>
        <v>343700</v>
      </c>
    </row>
    <row r="189" spans="1:6" x14ac:dyDescent="0.25">
      <c r="A189" s="269"/>
      <c r="B189" s="164" t="s">
        <v>92</v>
      </c>
      <c r="C189" s="165">
        <v>0</v>
      </c>
      <c r="D189" s="165">
        <v>0</v>
      </c>
      <c r="E189" s="165">
        <v>0</v>
      </c>
      <c r="F189" s="165">
        <f ca="1">+C189-D189-E189+F188</f>
        <v>343700</v>
      </c>
    </row>
    <row r="190" spans="1:6" x14ac:dyDescent="0.25">
      <c r="A190" s="269"/>
      <c r="B190" s="164"/>
      <c r="C190" s="165">
        <v>0</v>
      </c>
      <c r="D190" s="165">
        <v>0</v>
      </c>
      <c r="E190" s="165">
        <v>0</v>
      </c>
      <c r="F190" s="165">
        <f ca="1">+C190-D190-E190+F189</f>
        <v>343700</v>
      </c>
    </row>
    <row r="191" spans="1:6" x14ac:dyDescent="0.25">
      <c r="A191" s="270"/>
      <c r="B191" s="133" t="s">
        <v>156</v>
      </c>
      <c r="C191" s="186">
        <f ca="1">+SUMIF(ACCESORIOS!C393:D403,ACCESORIOS!H2,ACCESORIOS!D393:D403)</f>
        <v>0</v>
      </c>
      <c r="D191" s="186">
        <v>0</v>
      </c>
      <c r="E191" s="165">
        <v>0</v>
      </c>
      <c r="F191" s="165">
        <f ca="1">+C191-D191-E191+F190</f>
        <v>343700</v>
      </c>
    </row>
    <row r="192" spans="1:6" x14ac:dyDescent="0.25">
      <c r="A192" s="187" t="s">
        <v>58</v>
      </c>
      <c r="B192" s="188"/>
      <c r="C192" s="189">
        <f ca="1">SUM(C187:C191)</f>
        <v>0</v>
      </c>
      <c r="D192" s="189">
        <f>SUM(D187:D191)</f>
        <v>0</v>
      </c>
      <c r="E192" s="189">
        <f>SUM(E187:E191)</f>
        <v>0</v>
      </c>
      <c r="F192" s="189">
        <f ca="1">F191</f>
        <v>343700</v>
      </c>
    </row>
    <row r="193" spans="1:6" x14ac:dyDescent="0.25">
      <c r="A193" s="190" t="s">
        <v>58</v>
      </c>
      <c r="B193" s="191"/>
      <c r="C193" s="192">
        <f ca="1">C12+C18+C24+C30+C36+C42+C48+C54+C60+C66+C72+C78+C84+C90+C96+C102+C108+C114+C120+C126+C132+C138+C144+C150+C156+C162+C168+C174+C180+C186+C192</f>
        <v>17589350</v>
      </c>
      <c r="D193" s="192">
        <f>D12+D18+D24+D30+D36+D42+D48+D54+D60+D66+D72+D78+D84+D90+D96+D102+D108+D114+D120+D126+D132+D138+D144+D150+D156+D162+D168+D174+D180+D186+D192</f>
        <v>17245650</v>
      </c>
      <c r="E193" s="192">
        <f>E12+E18+E24+E30+E36+E42+E48+E54+E60+E66+E72+E78+E84+E90+E96+E102+E108+E114+E120+E126+E132+E138+E144+E150+E156+E162+E168+E174+E180+E186+E192</f>
        <v>0</v>
      </c>
      <c r="F193" s="192">
        <f ca="1">+C193-D193-E193</f>
        <v>343700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1"/>
      <c r="B1" s="312"/>
      <c r="C1" s="312"/>
      <c r="D1" s="312"/>
      <c r="E1" s="313"/>
      <c r="F1" s="17"/>
      <c r="G1" s="17"/>
      <c r="H1" s="17"/>
      <c r="I1" s="17"/>
      <c r="J1" s="17"/>
    </row>
    <row r="2" spans="1:10" ht="18.75" x14ac:dyDescent="0.3">
      <c r="A2" s="235" t="s">
        <v>0</v>
      </c>
      <c r="B2" s="236"/>
      <c r="C2" s="236"/>
      <c r="D2" s="236"/>
      <c r="E2" s="237"/>
      <c r="F2" s="17"/>
      <c r="G2" s="17"/>
      <c r="H2" s="17"/>
      <c r="I2" s="17"/>
      <c r="J2" s="17"/>
    </row>
    <row r="3" spans="1:10" ht="18.75" x14ac:dyDescent="0.3">
      <c r="A3" s="314" t="s">
        <v>48</v>
      </c>
      <c r="B3" s="315"/>
      <c r="C3" s="315"/>
      <c r="D3" s="315"/>
      <c r="E3" s="316"/>
      <c r="F3" s="18"/>
      <c r="G3" s="18"/>
      <c r="H3" s="18"/>
      <c r="I3" s="18"/>
      <c r="J3" s="18"/>
    </row>
    <row r="4" spans="1:10" ht="16.5" customHeight="1" x14ac:dyDescent="0.3">
      <c r="A4" s="235" t="s">
        <v>93</v>
      </c>
      <c r="B4" s="236"/>
      <c r="C4" s="236"/>
      <c r="D4" s="236"/>
      <c r="E4" s="237"/>
      <c r="F4" s="8"/>
      <c r="G4" s="8"/>
      <c r="H4" s="8"/>
      <c r="I4" s="8"/>
      <c r="J4" s="8"/>
    </row>
    <row r="5" spans="1:10" ht="18.75" x14ac:dyDescent="0.3">
      <c r="A5" s="235" t="s">
        <v>94</v>
      </c>
      <c r="B5" s="236"/>
      <c r="C5" s="236"/>
      <c r="D5" s="236"/>
      <c r="E5" s="237"/>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7" t="s">
        <v>27</v>
      </c>
      <c r="B53" s="318"/>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2025-11-02T01:24:43Z</dcterms:modified>
  <cp:category/>
  <cp:contentStatus/>
</cp:coreProperties>
</file>