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NOVIEMBRE 2025\"/>
    </mc:Choice>
  </mc:AlternateContent>
  <xr:revisionPtr revIDLastSave="0" documentId="13_ncr:1_{5039F466-18FC-408B-AD32-1B7472616805}" xr6:coauthVersionLast="47" xr6:coauthVersionMax="47" xr10:uidLastSave="{00000000-0000-0000-0000-000000000000}"/>
  <bookViews>
    <workbookView xWindow="-120" yWindow="-120" windowWidth="15600" windowHeight="11160" tabRatio="846" firstSheet="1" activeTab="2"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8" i="10" l="1"/>
  <c r="E97" i="10"/>
  <c r="L544" i="2"/>
  <c r="L543" i="2"/>
  <c r="L542" i="2"/>
  <c r="E95" i="10"/>
  <c r="E94" i="10"/>
  <c r="L526" i="2"/>
  <c r="L525" i="2"/>
  <c r="E92" i="10"/>
  <c r="E91" i="10"/>
  <c r="L510" i="2"/>
  <c r="L509" i="2"/>
  <c r="L493" i="2"/>
  <c r="L494" i="2" s="1"/>
  <c r="E89" i="10"/>
  <c r="E88" i="10"/>
  <c r="L492" i="2"/>
  <c r="E86" i="10"/>
  <c r="E85" i="10"/>
  <c r="L476" i="2"/>
  <c r="L475" i="2"/>
  <c r="E83" i="10"/>
  <c r="E82" i="10"/>
  <c r="L458" i="2"/>
  <c r="L457" i="2"/>
  <c r="L477" i="2" l="1"/>
  <c r="L459" i="2"/>
  <c r="E80" i="10"/>
  <c r="E79" i="10"/>
  <c r="L441" i="2"/>
  <c r="G443" i="2"/>
  <c r="L440" i="2"/>
  <c r="E77" i="10"/>
  <c r="E76" i="10"/>
  <c r="L423" i="2"/>
  <c r="L422" i="2"/>
  <c r="L424" i="2" s="1"/>
  <c r="E73" i="10"/>
  <c r="L407" i="2"/>
  <c r="L406" i="2"/>
  <c r="E71" i="10"/>
  <c r="E70" i="10"/>
  <c r="L389" i="2"/>
  <c r="L388" i="2"/>
  <c r="E67" i="10"/>
  <c r="L369" i="2"/>
  <c r="L442" i="2" l="1"/>
  <c r="L368" i="2"/>
  <c r="L370" i="2" s="1"/>
  <c r="E65" i="10"/>
  <c r="E64" i="10"/>
  <c r="L349" i="2"/>
  <c r="L348" i="2"/>
  <c r="E61" i="10"/>
  <c r="L332" i="2"/>
  <c r="L331" i="2"/>
  <c r="D107" i="16"/>
  <c r="E59" i="10"/>
  <c r="E58" i="10"/>
  <c r="L315" i="2"/>
  <c r="L350" i="2" l="1"/>
  <c r="L333" i="2"/>
  <c r="L314" i="2"/>
  <c r="E56" i="10"/>
  <c r="E55" i="10"/>
  <c r="L297" i="2"/>
  <c r="L296" i="2"/>
  <c r="E52" i="10" l="1"/>
  <c r="F280" i="2"/>
  <c r="G280" i="2"/>
  <c r="L277" i="2"/>
  <c r="L278" i="2"/>
  <c r="L279" i="2" l="1"/>
  <c r="E50" i="10"/>
  <c r="E49" i="10"/>
  <c r="L259" i="2"/>
  <c r="L258" i="2"/>
  <c r="L257" i="2"/>
  <c r="E46" i="10"/>
  <c r="L241" i="2"/>
  <c r="L240" i="2" l="1"/>
  <c r="E44" i="10"/>
  <c r="E43" i="10"/>
  <c r="L222" i="2"/>
  <c r="L223" i="2" s="1"/>
  <c r="L221" i="2"/>
  <c r="E40" i="10"/>
  <c r="L202" i="2"/>
  <c r="L201" i="2"/>
  <c r="E38" i="10"/>
  <c r="E37" i="10"/>
  <c r="L183" i="2"/>
  <c r="L184" i="2"/>
  <c r="E35" i="10"/>
  <c r="E34" i="10"/>
  <c r="L167" i="2"/>
  <c r="L166" i="2"/>
  <c r="G150" i="2"/>
  <c r="L148" i="2"/>
  <c r="L147" i="2"/>
  <c r="E29" i="10"/>
  <c r="E28" i="10"/>
  <c r="L131" i="2"/>
  <c r="G132" i="2"/>
  <c r="L130" i="2"/>
  <c r="L185" i="2" l="1"/>
  <c r="L203" i="2"/>
  <c r="E25" i="10"/>
  <c r="E26" i="10"/>
  <c r="L114" i="2"/>
  <c r="L113" i="2"/>
  <c r="L115" i="2" l="1"/>
  <c r="E23" i="10"/>
  <c r="E22" i="10"/>
  <c r="C31" i="16"/>
  <c r="L96" i="2"/>
  <c r="L95" i="2"/>
  <c r="L97" i="2" s="1"/>
  <c r="E20" i="10" l="1"/>
  <c r="E19" i="10"/>
  <c r="D28" i="16"/>
  <c r="L76" i="2"/>
  <c r="L75" i="2"/>
  <c r="E17" i="10"/>
  <c r="E16" i="10"/>
  <c r="L58" i="2"/>
  <c r="L77" i="2" l="1"/>
  <c r="L57" i="2"/>
  <c r="L41" i="2"/>
  <c r="L42" i="2"/>
  <c r="L43" i="2" l="1"/>
  <c r="G25" i="2"/>
  <c r="F25" i="2"/>
  <c r="D10" i="16"/>
  <c r="E11" i="10"/>
  <c r="E10" i="10"/>
  <c r="L24" i="2"/>
  <c r="L23" i="2" l="1"/>
  <c r="C168" i="16"/>
  <c r="C192" i="16" l="1"/>
  <c r="C186" i="16"/>
  <c r="C180" i="16"/>
  <c r="C174" i="16"/>
  <c r="C162" i="16"/>
  <c r="C156" i="16"/>
  <c r="C150" i="16"/>
  <c r="C144" i="16"/>
  <c r="C138" i="16"/>
  <c r="C132" i="16"/>
  <c r="C126" i="16"/>
  <c r="C120" i="16"/>
  <c r="C114" i="16"/>
  <c r="C108" i="16"/>
  <c r="C102" i="16"/>
  <c r="C96" i="16"/>
  <c r="C90" i="16"/>
  <c r="C84" i="16"/>
  <c r="C78" i="16"/>
  <c r="C79" i="16" s="1"/>
  <c r="C72" i="16"/>
  <c r="C66" i="16"/>
  <c r="C59" i="16"/>
  <c r="C53" i="16"/>
  <c r="C47" i="16"/>
  <c r="C41" i="16"/>
  <c r="C35" i="16"/>
  <c r="C29" i="16"/>
  <c r="C30" i="16" s="1"/>
  <c r="C23" i="16"/>
  <c r="C24" i="16" s="1"/>
  <c r="C17" i="16"/>
  <c r="C11" i="16"/>
  <c r="K30" i="16"/>
  <c r="O30" i="16" s="1"/>
  <c r="K32" i="16"/>
  <c r="K33" i="16"/>
  <c r="F6" i="16"/>
  <c r="K29" i="16"/>
  <c r="O29" i="16" s="1"/>
  <c r="K6" i="16"/>
  <c r="O6" i="16" s="1"/>
  <c r="K8" i="16"/>
  <c r="O8" i="16" s="1"/>
  <c r="K9" i="16"/>
  <c r="O9" i="16" s="1"/>
  <c r="K12" i="16"/>
  <c r="O12" i="16" s="1"/>
  <c r="K13" i="16"/>
  <c r="O13" i="16" s="1"/>
  <c r="K15" i="16"/>
  <c r="O15" i="16" s="1"/>
  <c r="K16" i="16"/>
  <c r="K18" i="16"/>
  <c r="O18" i="16" s="1"/>
  <c r="K19" i="16"/>
  <c r="O19" i="16" s="1"/>
  <c r="K21" i="16"/>
  <c r="K22" i="16"/>
  <c r="O22" i="16" s="1"/>
  <c r="K24" i="16"/>
  <c r="O24" i="16" s="1"/>
  <c r="K25" i="16"/>
  <c r="O25" i="16" s="1"/>
  <c r="K27" i="16"/>
  <c r="K28" i="16"/>
  <c r="O28" i="16" s="1"/>
  <c r="D79" i="16"/>
  <c r="E79"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K4" i="16"/>
  <c r="K5" i="16"/>
  <c r="O5" i="16" s="1"/>
  <c r="O35" i="16"/>
  <c r="O36" i="16"/>
  <c r="O3" i="16" l="1"/>
  <c r="F7" i="16"/>
  <c r="F8" i="16" s="1"/>
  <c r="F9" i="16" s="1"/>
  <c r="F10" i="16" s="1"/>
  <c r="F11" i="16" s="1"/>
  <c r="F12" i="16" s="1"/>
  <c r="D411" i="17"/>
  <c r="D409" i="17"/>
  <c r="D408" i="17"/>
  <c r="D410" i="17"/>
  <c r="D405" i="17"/>
  <c r="D26" i="12" s="1"/>
  <c r="O4" i="16"/>
  <c r="O37" i="16"/>
  <c r="D412" i="17" l="1"/>
  <c r="D193" i="16"/>
  <c r="E193" i="16"/>
  <c r="C193" i="16"/>
  <c r="D187" i="16"/>
  <c r="E187" i="16"/>
  <c r="C187" i="16"/>
  <c r="D181" i="16"/>
  <c r="E181" i="16"/>
  <c r="C181" i="16"/>
  <c r="D175" i="16"/>
  <c r="E175" i="16"/>
  <c r="C175" i="16"/>
  <c r="D169" i="16"/>
  <c r="E169" i="16"/>
  <c r="C169" i="16"/>
  <c r="D163" i="16"/>
  <c r="E163" i="16"/>
  <c r="C163" i="16"/>
  <c r="D157" i="16"/>
  <c r="E157" i="16"/>
  <c r="C157" i="16"/>
  <c r="D151" i="16"/>
  <c r="E151" i="16"/>
  <c r="C151" i="16"/>
  <c r="D145" i="16"/>
  <c r="E145" i="16"/>
  <c r="C145" i="16"/>
  <c r="D139" i="16"/>
  <c r="E139" i="16"/>
  <c r="C139" i="16"/>
  <c r="D133" i="16"/>
  <c r="E133" i="16"/>
  <c r="C133" i="16"/>
  <c r="D127" i="16"/>
  <c r="E127" i="16"/>
  <c r="C127" i="16"/>
  <c r="D121" i="16"/>
  <c r="E121" i="16"/>
  <c r="C121" i="16"/>
  <c r="D115" i="16"/>
  <c r="E115" i="16"/>
  <c r="C115" i="16"/>
  <c r="D109" i="16"/>
  <c r="E109" i="16"/>
  <c r="C109" i="16"/>
  <c r="D103" i="16"/>
  <c r="E103" i="16"/>
  <c r="C103" i="16"/>
  <c r="D97" i="16"/>
  <c r="E97" i="16"/>
  <c r="C97" i="16"/>
  <c r="D91" i="16"/>
  <c r="E91" i="16"/>
  <c r="C91" i="16"/>
  <c r="D85" i="16"/>
  <c r="E85" i="16"/>
  <c r="C85" i="16"/>
  <c r="D73" i="16"/>
  <c r="E73" i="16"/>
  <c r="C73" i="16"/>
  <c r="D67" i="16"/>
  <c r="E67" i="16"/>
  <c r="C67" i="16"/>
  <c r="D60" i="16"/>
  <c r="E60" i="16"/>
  <c r="C60" i="16"/>
  <c r="D54" i="16"/>
  <c r="E54" i="16"/>
  <c r="C54" i="16"/>
  <c r="D48" i="16"/>
  <c r="E48" i="16"/>
  <c r="C48" i="16"/>
  <c r="D42" i="16"/>
  <c r="E42" i="16"/>
  <c r="C42" i="16"/>
  <c r="D36" i="16"/>
  <c r="E36" i="16"/>
  <c r="C36" i="16"/>
  <c r="D18" i="16"/>
  <c r="E18" i="16"/>
  <c r="C18" i="16"/>
  <c r="E12" i="16"/>
  <c r="D12" i="16"/>
  <c r="C12" i="16"/>
  <c r="E12" i="10"/>
  <c r="F13" i="16" l="1"/>
  <c r="F14" i="16" s="1"/>
  <c r="F15" i="16" s="1"/>
  <c r="F16" i="16" s="1"/>
  <c r="F17" i="16" s="1"/>
  <c r="F18" i="16" s="1"/>
  <c r="F19" i="16" s="1"/>
  <c r="F20" i="16" s="1"/>
  <c r="F21" i="16" s="1"/>
  <c r="F22" i="16" s="1"/>
  <c r="F23" i="16" s="1"/>
  <c r="D27" i="12"/>
  <c r="E194" i="16"/>
  <c r="C194" i="16"/>
  <c r="D194" i="16"/>
  <c r="J562" i="2"/>
  <c r="I562" i="2"/>
  <c r="J545" i="2"/>
  <c r="J528" i="2"/>
  <c r="J511" i="2"/>
  <c r="J494" i="2"/>
  <c r="J477" i="2"/>
  <c r="J460" i="2"/>
  <c r="J443" i="2"/>
  <c r="J425" i="2"/>
  <c r="J409" i="2"/>
  <c r="J390" i="2"/>
  <c r="J371" i="2"/>
  <c r="J351" i="2"/>
  <c r="J333" i="2"/>
  <c r="J317" i="2"/>
  <c r="J298" i="2"/>
  <c r="J280" i="2"/>
  <c r="J261" i="2"/>
  <c r="J242" i="2"/>
  <c r="J224" i="2"/>
  <c r="J204" i="2"/>
  <c r="J186" i="2"/>
  <c r="J169" i="2"/>
  <c r="J150" i="2"/>
  <c r="J115" i="2"/>
  <c r="J132" i="2"/>
  <c r="J97" i="2"/>
  <c r="J79" i="2"/>
  <c r="J61" i="2"/>
  <c r="J43" i="2"/>
  <c r="J25" i="2"/>
  <c r="F194" i="16" l="1"/>
  <c r="D29" i="12" s="1"/>
  <c r="F24" i="16"/>
  <c r="J564" i="2"/>
  <c r="F25" i="16" l="1"/>
  <c r="F26" i="16" s="1"/>
  <c r="F27" i="16" s="1"/>
  <c r="F28" i="16" s="1"/>
  <c r="F29" i="16" s="1"/>
  <c r="F30" i="16" s="1"/>
  <c r="F31" i="16" s="1"/>
  <c r="F32" i="16" s="1"/>
  <c r="F33" i="16" s="1"/>
  <c r="F34" i="16" s="1"/>
  <c r="F35" i="16" s="1"/>
  <c r="F43" i="2"/>
  <c r="G43" i="2"/>
  <c r="H43" i="2"/>
  <c r="E75" i="10"/>
  <c r="E78" i="10"/>
  <c r="F351" i="2"/>
  <c r="F261" i="2"/>
  <c r="G351" i="2"/>
  <c r="H562" i="2" l="1"/>
  <c r="H545" i="2"/>
  <c r="H528" i="2"/>
  <c r="H511" i="2"/>
  <c r="H494" i="2"/>
  <c r="H477" i="2"/>
  <c r="H460" i="2"/>
  <c r="H443" i="2"/>
  <c r="H425" i="2"/>
  <c r="H409" i="2"/>
  <c r="H390" i="2"/>
  <c r="H371" i="2"/>
  <c r="H351" i="2"/>
  <c r="H333" i="2"/>
  <c r="H317" i="2"/>
  <c r="H298" i="2"/>
  <c r="H280" i="2"/>
  <c r="H261" i="2"/>
  <c r="H242" i="2"/>
  <c r="H224" i="2"/>
  <c r="H204" i="2"/>
  <c r="H186" i="2"/>
  <c r="H169" i="2"/>
  <c r="H150" i="2"/>
  <c r="H132" i="2"/>
  <c r="H115" i="2"/>
  <c r="H97" i="2"/>
  <c r="H79" i="2"/>
  <c r="H61" i="2"/>
  <c r="H25" i="2"/>
  <c r="H564" i="2" l="1"/>
  <c r="G13" i="12" s="1"/>
  <c r="G333" i="2" l="1"/>
  <c r="G562" i="2"/>
  <c r="G545" i="2"/>
  <c r="G528" i="2"/>
  <c r="G511" i="2"/>
  <c r="G494" i="2"/>
  <c r="G477" i="2"/>
  <c r="G460" i="2"/>
  <c r="G425" i="2"/>
  <c r="G409" i="2"/>
  <c r="G390" i="2"/>
  <c r="G371" i="2"/>
  <c r="G298" i="2"/>
  <c r="G317" i="2"/>
  <c r="I298" i="2" l="1"/>
  <c r="F298" i="2"/>
  <c r="G261" i="2"/>
  <c r="G242" i="2"/>
  <c r="G224" i="2"/>
  <c r="G204" i="2"/>
  <c r="G186" i="2"/>
  <c r="G169" i="2"/>
  <c r="G115" i="2"/>
  <c r="G97" i="2"/>
  <c r="G79" i="2"/>
  <c r="K298" i="2" l="1"/>
  <c r="F115" i="2"/>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2" i="11" l="1"/>
  <c r="K31" i="16"/>
  <c r="O31" i="16" s="1"/>
  <c r="D33" i="11"/>
  <c r="K34" i="16"/>
  <c r="O34"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4"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2" i="2"/>
  <c r="K562" i="2" s="1"/>
  <c r="I545" i="2"/>
  <c r="F545" i="2"/>
  <c r="I528" i="2"/>
  <c r="F528" i="2"/>
  <c r="I511" i="2"/>
  <c r="F511" i="2"/>
  <c r="I494" i="2"/>
  <c r="F494" i="2"/>
  <c r="I477" i="2"/>
  <c r="F477" i="2"/>
  <c r="I460" i="2"/>
  <c r="F460" i="2"/>
  <c r="I443" i="2"/>
  <c r="F443" i="2"/>
  <c r="I425" i="2"/>
  <c r="F425" i="2"/>
  <c r="I409" i="2"/>
  <c r="F409" i="2"/>
  <c r="I390" i="2"/>
  <c r="F390" i="2"/>
  <c r="I371" i="2"/>
  <c r="F371" i="2"/>
  <c r="I351" i="2"/>
  <c r="K351" i="2" s="1"/>
  <c r="I333" i="2"/>
  <c r="F333" i="2"/>
  <c r="I317" i="2"/>
  <c r="F317" i="2"/>
  <c r="I280" i="2"/>
  <c r="K280" i="2" s="1"/>
  <c r="I261" i="2"/>
  <c r="K261" i="2" s="1"/>
  <c r="I242" i="2"/>
  <c r="F242" i="2"/>
  <c r="I224" i="2"/>
  <c r="F224" i="2"/>
  <c r="I204" i="2"/>
  <c r="F204" i="2"/>
  <c r="I186" i="2"/>
  <c r="F186" i="2"/>
  <c r="I169" i="2"/>
  <c r="F169" i="2"/>
  <c r="I150" i="2"/>
  <c r="F150" i="2"/>
  <c r="I132" i="2"/>
  <c r="F132" i="2"/>
  <c r="I115" i="2"/>
  <c r="I97" i="2"/>
  <c r="F97" i="2"/>
  <c r="I79" i="2"/>
  <c r="F79" i="2"/>
  <c r="I61" i="2"/>
  <c r="F61" i="2"/>
  <c r="I43" i="2"/>
  <c r="F564" i="2" l="1"/>
  <c r="D35" i="12"/>
  <c r="D36" i="12"/>
  <c r="D37" i="12"/>
  <c r="D44" i="12"/>
  <c r="D47" i="12"/>
  <c r="D45" i="12"/>
  <c r="D43" i="12"/>
  <c r="D41" i="12"/>
  <c r="D32" i="12"/>
  <c r="D46" i="12"/>
  <c r="D39" i="12"/>
  <c r="D38" i="12"/>
  <c r="D34" i="12"/>
  <c r="D40" i="12"/>
  <c r="D42" i="12"/>
  <c r="D33" i="12"/>
  <c r="F54" i="16"/>
  <c r="F55" i="16" s="1"/>
  <c r="F56" i="16" s="1"/>
  <c r="F57" i="16" s="1"/>
  <c r="F58" i="16" s="1"/>
  <c r="F59" i="16" s="1"/>
  <c r="K61" i="2"/>
  <c r="G18" i="10" s="1"/>
  <c r="K79" i="2"/>
  <c r="G21" i="10" s="1"/>
  <c r="E11" i="11" s="1"/>
  <c r="K97" i="2"/>
  <c r="K371" i="2"/>
  <c r="G69" i="10" s="1"/>
  <c r="E27" i="11" s="1"/>
  <c r="K390" i="2"/>
  <c r="G72" i="10" s="1"/>
  <c r="E28" i="11" s="1"/>
  <c r="K409" i="2"/>
  <c r="G75" i="10" s="1"/>
  <c r="E29" i="11" s="1"/>
  <c r="K425" i="2"/>
  <c r="G78" i="10" s="1"/>
  <c r="E30" i="11" s="1"/>
  <c r="K443" i="2"/>
  <c r="G81" i="10" s="1"/>
  <c r="E31" i="11" s="1"/>
  <c r="K460" i="2"/>
  <c r="G84" i="10" s="1"/>
  <c r="E32" i="11" s="1"/>
  <c r="K477" i="2"/>
  <c r="G87" i="10" s="1"/>
  <c r="E33" i="11" s="1"/>
  <c r="K494" i="2"/>
  <c r="G90" i="10" s="1"/>
  <c r="E34" i="11" s="1"/>
  <c r="K511" i="2"/>
  <c r="G93" i="10" s="1"/>
  <c r="E35" i="11" s="1"/>
  <c r="K528" i="2"/>
  <c r="G96" i="10" s="1"/>
  <c r="E36" i="11" s="1"/>
  <c r="K545" i="2"/>
  <c r="G99" i="10" s="1"/>
  <c r="E37" i="11" s="1"/>
  <c r="K115" i="2"/>
  <c r="G27" i="10" s="1"/>
  <c r="E13" i="11" s="1"/>
  <c r="K43" i="2"/>
  <c r="I564" i="2"/>
  <c r="H13" i="12" s="1"/>
  <c r="K132" i="2"/>
  <c r="G30" i="10" s="1"/>
  <c r="E14" i="11" s="1"/>
  <c r="K150" i="2"/>
  <c r="G33" i="10" s="1"/>
  <c r="E15" i="11" s="1"/>
  <c r="K169" i="2"/>
  <c r="G36" i="10" s="1"/>
  <c r="E16" i="11" s="1"/>
  <c r="K186" i="2"/>
  <c r="K204" i="2"/>
  <c r="G42" i="10" s="1"/>
  <c r="E18" i="11" s="1"/>
  <c r="K224" i="2"/>
  <c r="G45" i="10" s="1"/>
  <c r="E19" i="11" s="1"/>
  <c r="K242" i="2"/>
  <c r="G48" i="10" s="1"/>
  <c r="E20" i="11" s="1"/>
  <c r="K317" i="2"/>
  <c r="G60" i="10" s="1"/>
  <c r="E24" i="11" s="1"/>
  <c r="K333" i="2"/>
  <c r="G63" i="10" s="1"/>
  <c r="E25" i="11" s="1"/>
  <c r="G24" i="10"/>
  <c r="E12" i="11" s="1"/>
  <c r="G51" i="10"/>
  <c r="E21" i="11" s="1"/>
  <c r="G54" i="10"/>
  <c r="E22" i="11" s="1"/>
  <c r="G102" i="10"/>
  <c r="E38" i="11" s="1"/>
  <c r="G57" i="10"/>
  <c r="E23" i="11" s="1"/>
  <c r="K564" i="2" l="1"/>
  <c r="G15" i="10"/>
  <c r="H15" i="10" s="1"/>
  <c r="H18" i="10" s="1"/>
  <c r="H21" i="10" s="1"/>
  <c r="H24" i="10" s="1"/>
  <c r="H27" i="10" s="1"/>
  <c r="H30" i="10" s="1"/>
  <c r="H33" i="10" s="1"/>
  <c r="H36" i="10" s="1"/>
  <c r="L562" i="2"/>
  <c r="F60" i="16"/>
  <c r="F61" i="16" s="1"/>
  <c r="F62" i="16" s="1"/>
  <c r="F63" i="16" s="1"/>
  <c r="F64" i="16" s="1"/>
  <c r="G39" i="10"/>
  <c r="E17" i="11" s="1"/>
  <c r="E10" i="11"/>
  <c r="F65" i="16" l="1"/>
  <c r="F66" i="16" s="1"/>
  <c r="F67" i="16" s="1"/>
  <c r="F68" i="16" s="1"/>
  <c r="F69" i="16" s="1"/>
  <c r="F70" i="16" s="1"/>
  <c r="F71" i="16" s="1"/>
  <c r="F72" i="16" s="1"/>
  <c r="E9" i="11"/>
  <c r="F9" i="11" s="1"/>
  <c r="F10" i="11" s="1"/>
  <c r="H39" i="10"/>
  <c r="H42" i="10" s="1"/>
  <c r="H45" i="10" s="1"/>
  <c r="H48" i="10" s="1"/>
  <c r="H51" i="10" s="1"/>
  <c r="H54" i="10" s="1"/>
  <c r="H57" i="10" s="1"/>
  <c r="H60" i="10" s="1"/>
  <c r="H63" i="10" s="1"/>
  <c r="F73" i="16" l="1"/>
  <c r="F11" i="11"/>
  <c r="G66" i="10"/>
  <c r="F74" i="16" l="1"/>
  <c r="F75" i="16" s="1"/>
  <c r="F76" i="16" s="1"/>
  <c r="F77" i="16" s="1"/>
  <c r="F78" i="16" s="1"/>
  <c r="F79" i="16" s="1"/>
  <c r="F80" i="16" s="1"/>
  <c r="F81" i="16" s="1"/>
  <c r="F82" i="16" s="1"/>
  <c r="F83" i="16" s="1"/>
  <c r="F84" i="16" s="1"/>
  <c r="E13" i="12"/>
  <c r="F12" i="11"/>
  <c r="E26" i="11"/>
  <c r="H66" i="10"/>
  <c r="H69" i="10" s="1"/>
  <c r="H72" i="10" s="1"/>
  <c r="H75" i="10" s="1"/>
  <c r="H78" i="10" s="1"/>
  <c r="H81" i="10" s="1"/>
  <c r="H84" i="10" s="1"/>
  <c r="H87" i="10" s="1"/>
  <c r="H90" i="10" s="1"/>
  <c r="H93" i="10" s="1"/>
  <c r="H96" i="10" s="1"/>
  <c r="H99" i="10" s="1"/>
  <c r="H102" i="10" s="1"/>
  <c r="G103" i="10"/>
  <c r="H103" i="10" s="1"/>
  <c r="I13" i="12" l="1"/>
  <c r="E14" i="12" s="1"/>
  <c r="E32" i="12"/>
  <c r="E41" i="12"/>
  <c r="E43" i="12"/>
  <c r="E46" i="12"/>
  <c r="E33" i="12"/>
  <c r="E42" i="12"/>
  <c r="E34" i="12"/>
  <c r="E36" i="12"/>
  <c r="E38" i="12"/>
  <c r="E39" i="12"/>
  <c r="E35" i="12"/>
  <c r="E47" i="12"/>
  <c r="E44" i="12"/>
  <c r="E37" i="12"/>
  <c r="E45" i="12"/>
  <c r="E40" i="12"/>
  <c r="F85" i="16"/>
  <c r="F86" i="16" s="1"/>
  <c r="F87" i="16" s="1"/>
  <c r="F88" i="16" s="1"/>
  <c r="F89" i="16" s="1"/>
  <c r="F90" i="16" s="1"/>
  <c r="F13" i="11"/>
  <c r="E39" i="11"/>
  <c r="D23" i="12" s="1"/>
  <c r="H14" i="12" l="1"/>
  <c r="F14" i="12"/>
  <c r="G14" i="12"/>
  <c r="D24" i="12"/>
  <c r="E24" i="12" s="1"/>
  <c r="E23" i="12"/>
  <c r="F91" i="16"/>
  <c r="F92" i="16" s="1"/>
  <c r="F93" i="16" s="1"/>
  <c r="F94" i="16" s="1"/>
  <c r="F95" i="16" s="1"/>
  <c r="F96" i="16" s="1"/>
  <c r="F14" i="11"/>
  <c r="I14" i="12" l="1"/>
  <c r="F97" i="16"/>
  <c r="F98" i="16" s="1"/>
  <c r="F99" i="16" s="1"/>
  <c r="F100" i="16" s="1"/>
  <c r="F101" i="16" s="1"/>
  <c r="F102" i="16" s="1"/>
  <c r="F15" i="11"/>
  <c r="F103" i="16" l="1"/>
  <c r="F16" i="11"/>
  <c r="F104" i="16" l="1"/>
  <c r="F105" i="16" s="1"/>
  <c r="F106" i="16" s="1"/>
  <c r="F107" i="16" s="1"/>
  <c r="F108" i="16" s="1"/>
  <c r="F109" i="16" s="1"/>
  <c r="F110" i="16" s="1"/>
  <c r="F111" i="16" s="1"/>
  <c r="F112" i="16" s="1"/>
  <c r="F113" i="16" s="1"/>
  <c r="F114" i="16" s="1"/>
  <c r="F115" i="16" s="1"/>
  <c r="F116" i="16" s="1"/>
  <c r="F117" i="16" s="1"/>
  <c r="F118" i="16" s="1"/>
  <c r="F119" i="16" s="1"/>
  <c r="F120" i="16" s="1"/>
  <c r="F17" i="11"/>
  <c r="F121" i="16" l="1"/>
  <c r="F18" i="11"/>
  <c r="F122" i="16" l="1"/>
  <c r="F123" i="16" s="1"/>
  <c r="F124" i="16" s="1"/>
  <c r="F125" i="16" s="1"/>
  <c r="F126" i="16" s="1"/>
  <c r="F127" i="16" s="1"/>
  <c r="F19" i="11"/>
  <c r="F128" i="16" l="1"/>
  <c r="F129" i="16" s="1"/>
  <c r="F130" i="16" s="1"/>
  <c r="F131" i="16" s="1"/>
  <c r="F132" i="16" s="1"/>
  <c r="F133" i="16" s="1"/>
  <c r="F20" i="11"/>
  <c r="F134" i="16" l="1"/>
  <c r="F135" i="16" s="1"/>
  <c r="F136" i="16" s="1"/>
  <c r="F137" i="16" s="1"/>
  <c r="F138" i="16" s="1"/>
  <c r="F139" i="16" s="1"/>
  <c r="F21" i="11"/>
  <c r="F140" i="16" l="1"/>
  <c r="F141" i="16" s="1"/>
  <c r="F142" i="16" s="1"/>
  <c r="F143" i="16" s="1"/>
  <c r="F144" i="16" s="1"/>
  <c r="F145" i="16" s="1"/>
  <c r="F22" i="11"/>
  <c r="F146" i="16" l="1"/>
  <c r="F147" i="16" s="1"/>
  <c r="F148" i="16" s="1"/>
  <c r="F149" i="16" s="1"/>
  <c r="F150" i="16" s="1"/>
  <c r="F151" i="16" s="1"/>
  <c r="F23" i="11"/>
  <c r="F152" i="16" l="1"/>
  <c r="F153" i="16" s="1"/>
  <c r="F154" i="16" s="1"/>
  <c r="F155" i="16" s="1"/>
  <c r="F156" i="16" s="1"/>
  <c r="F157" i="16" s="1"/>
  <c r="F24" i="11"/>
  <c r="F158" i="16" l="1"/>
  <c r="F159" i="16" s="1"/>
  <c r="F160" i="16" s="1"/>
  <c r="F161" i="16" s="1"/>
  <c r="F162" i="16" s="1"/>
  <c r="F163" i="16" s="1"/>
  <c r="F25" i="11"/>
  <c r="F164" i="16" l="1"/>
  <c r="F165" i="16" s="1"/>
  <c r="F166" i="16" s="1"/>
  <c r="F167" i="16" s="1"/>
  <c r="F168" i="16" s="1"/>
  <c r="F169" i="16" s="1"/>
  <c r="F26" i="11"/>
  <c r="F170" i="16" l="1"/>
  <c r="F171" i="16" s="1"/>
  <c r="F172" i="16" s="1"/>
  <c r="F173" i="16" s="1"/>
  <c r="F174" i="16" s="1"/>
  <c r="F175" i="16" s="1"/>
  <c r="F27" i="11"/>
  <c r="F176" i="16" l="1"/>
  <c r="F177" i="16" s="1"/>
  <c r="F178" i="16" s="1"/>
  <c r="F179" i="16" s="1"/>
  <c r="F180" i="16" s="1"/>
  <c r="F181" i="16" s="1"/>
  <c r="F182" i="16" s="1"/>
  <c r="F183" i="16" s="1"/>
  <c r="F184" i="16" s="1"/>
  <c r="F185" i="16" s="1"/>
  <c r="F186" i="16" s="1"/>
  <c r="F187" i="16" s="1"/>
  <c r="F188" i="16" s="1"/>
  <c r="F189" i="16" s="1"/>
  <c r="F190" i="16" s="1"/>
  <c r="F191" i="16" s="1"/>
  <c r="F192" i="16" s="1"/>
  <c r="F28" i="11"/>
  <c r="F193" i="16" l="1"/>
  <c r="D28" i="12"/>
  <c r="F29" i="11"/>
  <c r="F30" i="11" l="1"/>
  <c r="F31" i="11" l="1"/>
  <c r="F32" i="11" l="1"/>
  <c r="F33" i="11" l="1"/>
  <c r="F34" i="11" l="1"/>
  <c r="F35" i="11" l="1"/>
  <c r="F36" i="11" l="1"/>
  <c r="F37" i="11" l="1"/>
  <c r="F38" i="11" l="1"/>
  <c r="F39" i="11"/>
  <c r="L16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<sst xmlns="http://schemas.openxmlformats.org/spreadsheetml/2006/main" count="1381" uniqueCount="219">
  <si>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</si>
  <si>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</si>
  <si>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</si>
  <si>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</si>
  <si>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</si>
  <si>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</si>
  <si>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</si>
  <si>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</si>
  <si>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</si>
  <si>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</si>
  <si>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</si>
  <si>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</si>
  <si>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</si>
  <si>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</si>
  <si>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</si>
  <si>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</si>
  <si>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</si>
  <si>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</si>
  <si>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</si>
  <si>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</si>
  <si>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</si>
  <si>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</si>
  <si>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</si>
  <si>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</si>
  <si>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</si>
  <si>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</si>
  <si>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</si>
  <si>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</si>
  <si>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</si>
  <si>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</si>
  <si>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</si>
  <si>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</si>
  <si>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</si>
  <si>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</si>
  <si>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</si>
  <si>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</si>
  <si>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</si>
  <si>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</si>
  <si>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</si>
  <si>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</si>
  <si>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</si>
  <si>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</si>
  <si>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</si>
  <si>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</si>
  <si>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</si>
  <si>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</si>
  <si>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</si>
  <si>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</si>
  <si>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</si>
  <si>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</si>
  <si>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</si>
  <si>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</si>
  <si>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</si>
  <si>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</si>
  <si>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</si>
  <si>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</si>
  <si>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</si>
  <si>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</si>
  <si>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</si>
  <si>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</si>
  <si>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</si>
  <si>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</si>
  <si>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</si>
  <si>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</si>
  <si>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</si>
  <si>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</si>
  <si>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</si>
  <si>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</si>
  <si>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</si>
  <si>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</si>
  <si>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</si>
  <si>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</si>
  <si>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</si>
  <si>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</si>
  <si>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</si>
  <si>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</si>
  <si>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</si>
  <si>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</si>
  <si>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</si>
  <si>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</si>
  <si>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</si>
  <si>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</si>
  <si>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</si>
  <si>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</si>
  <si>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</si>
  <si>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</si>
  <si>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</si>
  <si>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</si>
  <si>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</si>
  <si>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</si>
  <si>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</si>
  <si>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</si>
  <si>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</si>
  <si>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</si>
  <si>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</si>
  <si>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</si>
  <si>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</si>
  <si>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</si>
  <si>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</si>
  <si>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</si>
  <si>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</si>
  <si>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</si>
  <si>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</si>
  <si>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</si>
  <si>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</si>
  <si>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</si>
  <si>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</si>
  <si>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</si>
  <si>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</si>
  <si>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</si>
  <si>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</si>
  <si>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</si>
  <si>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</si>
  <si>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</si>
  <si>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</si>
  <si>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</si>
  <si>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</si>
  <si>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</si>
  <si>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</si>
  <si>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</si>
  <si>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</si>
  <si>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</si>
  <si>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</si>
  <si>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</si>
  <si>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</si>
  <si>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</si>
  <si>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</si>
  <si>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</si>
  <si>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</si>
  <si>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</si>
  <si>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</si>
  <si>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</si>
  <si>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</si>
  <si>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</si>
  <si>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</si>
  <si>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</si>
  <si>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</si>
  <si>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</si>
  <si>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</si>
  <si>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</si>
  <si>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</si>
  <si>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</si>
  <si>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</si>
  <si>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</si>
  <si>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</si>
  <si>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</si>
  <si>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</si>
  <si>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</si>
  <si>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</si>
  <si>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</si>
  <si>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</si>
  <si>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</si>
  <si>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</si>
  <si>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</si>
  <si>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</si>
  <si>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</si>
  <si>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</si>
  <si>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</si>
  <si>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</si>
  <si>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</si>
  <si>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</si>
  <si>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</si>
  <si>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</si>
  <si>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</si>
  <si>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</si>
  <si>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</si>
  <si>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</si>
  <si>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</si>
  <si>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</si>
  <si>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PAGO TURNO MAÑANA</t>
  </si>
  <si>
    <t>ERNESTO OCHOA</t>
  </si>
  <si>
    <t>DOMICILIO  CLIENTE</t>
  </si>
  <si>
    <t>PAGO TURNO TARDE</t>
  </si>
  <si>
    <t>MERIENDA</t>
  </si>
  <si>
    <t>JUAN VILLABONA</t>
  </si>
  <si>
    <t>COMISION</t>
  </si>
  <si>
    <t>HOME CENTER</t>
  </si>
  <si>
    <t>COMPRA DE LAMPARA</t>
  </si>
  <si>
    <t>TRES OSITOS</t>
  </si>
  <si>
    <t>COMPRA DE LAPICEROS</t>
  </si>
  <si>
    <t>PAGO ARIRIENDO</t>
  </si>
  <si>
    <t>PAGO SERVICIO DE GAS</t>
  </si>
  <si>
    <t>PAGO APORTES EN LINEA SUSAN RIVERA</t>
  </si>
  <si>
    <t>BONO EMPLEADO KARINA PEREZ 18.000 Y THAIS MERCADO 18.000</t>
  </si>
  <si>
    <t>BONO EMPLEADO</t>
  </si>
  <si>
    <t xml:space="preserve">BONO EMPLEADO THAIS MERCADO $9.000 Y KARINA PEREZ $5.000 </t>
  </si>
  <si>
    <t>BONO EMPLEADO 5000</t>
  </si>
  <si>
    <t>COMPRA DE RON</t>
  </si>
  <si>
    <t xml:space="preserve">ARETES DE HOJA </t>
  </si>
  <si>
    <t>ANILLO PLATEADO ACERO</t>
  </si>
  <si>
    <t>2 ANILLOS PLATEADOS</t>
  </si>
  <si>
    <t>VARIEDADES MILADYS</t>
  </si>
  <si>
    <t>ANA DEUDA BILLETE</t>
  </si>
  <si>
    <t>DEVOLUCION DINERO PAGADO DOBLE POR NEQUI</t>
  </si>
  <si>
    <t>BONO EMPLEADO 4000</t>
  </si>
  <si>
    <t>DOMICILIIO CLIENTE</t>
  </si>
  <si>
    <t>PAGO DE FACTURA DEL DIA 14-11-25</t>
  </si>
  <si>
    <t>anillo princesa corona</t>
  </si>
  <si>
    <t>BONO EMPLEADO THAIS MERCADO $2000/ANA CERVANTES $4000</t>
  </si>
  <si>
    <t>FOTOCOPIAS Y COMPRA DE INSUMOS</t>
  </si>
  <si>
    <t>BONO EMPLEADO TERESITA MEDRANO $5000</t>
  </si>
  <si>
    <t>DOMICILIO CLIENTE</t>
  </si>
  <si>
    <t>JUEGO MARIPOSA</t>
  </si>
  <si>
    <t>BONO EMPLEADO NA CERVANTES $26.000</t>
  </si>
  <si>
    <t>BODEGON PAISA</t>
  </si>
  <si>
    <t>MAYRLIS ROMERO CASTAÑEDA</t>
  </si>
  <si>
    <t xml:space="preserve">COMPRA DE INSUMOS FACTURA DE AYER Y HOY </t>
  </si>
  <si>
    <t>JOHAN</t>
  </si>
  <si>
    <t>JALADOR</t>
  </si>
  <si>
    <t>anillo pareja de niños</t>
  </si>
  <si>
    <t>RETIRO</t>
  </si>
  <si>
    <t>COMPRA DE SOPAS</t>
  </si>
  <si>
    <t>DISTRIBUIDORA SENSACIÓN</t>
  </si>
  <si>
    <t>COMPRA DE CAMISETA (DOTACION)</t>
  </si>
  <si>
    <t>PELLO</t>
  </si>
  <si>
    <t>SOPAS</t>
  </si>
  <si>
    <t>MERIENDA TURNO TARDE</t>
  </si>
  <si>
    <t>MEGATIENDAS</t>
  </si>
  <si>
    <t>COMPRA  DE INSUMOS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</si>
</sst>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rgb="FFA3DBFF"/>
        <bgColor indexed="64"/>
      </patternFill>
    </fill>
    <fill>
      <patternFill patternType="solid">
        <fgColor rgb="FF975CCB"/>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8">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15"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24" borderId="1" xfId="1" applyNumberFormat="1" applyFont="1" applyFill="1" applyBorder="1"/>
    <xf numFmtId="164" fontId="0" fillId="8" borderId="1" xfId="0" applyNumberFormat="1" applyFill="1" applyBorder="1"/>
    <xf numFmtId="164" fontId="0" fillId="8" borderId="1" xfId="1" applyNumberFormat="1" applyFont="1" applyFill="1" applyBorder="1"/>
    <xf numFmtId="164" fontId="0" fillId="12" borderId="1" xfId="1" applyNumberFormat="1" applyFont="1" applyFill="1" applyBorder="1"/>
    <xf numFmtId="164" fontId="0" fillId="9" borderId="1" xfId="0" applyNumberFormat="1" applyFill="1" applyBorder="1"/>
    <xf numFmtId="164" fontId="0" fillId="23" borderId="1" xfId="1" applyNumberFormat="1" applyFont="1" applyFill="1" applyBorder="1"/>
    <xf numFmtId="164" fontId="0" fillId="31" borderId="1" xfId="1" applyNumberFormat="1" applyFont="1" applyFill="1" applyBorder="1"/>
    <xf numFmtId="164" fontId="0" fillId="13" borderId="1" xfId="1" applyNumberFormat="1" applyFont="1" applyFill="1" applyBorder="1"/>
    <xf numFmtId="164" fontId="0" fillId="25" borderId="1" xfId="1" applyNumberFormat="1" applyFont="1" applyFill="1" applyBorder="1"/>
    <xf numFmtId="164" fontId="0" fillId="9" borderId="1" xfId="1" applyNumberFormat="1" applyFont="1" applyFill="1" applyBorder="1"/>
    <xf numFmtId="164" fontId="0" fillId="21" borderId="1" xfId="1" applyNumberFormat="1" applyFont="1" applyFill="1" applyBorder="1"/>
    <xf numFmtId="164" fontId="0" fillId="21" borderId="1" xfId="0" applyNumberFormat="1" applyFill="1" applyBorder="1"/>
    <xf numFmtId="164" fontId="0" fillId="7" borderId="1" xfId="1" applyNumberFormat="1" applyFont="1" applyFill="1" applyBorder="1"/>
    <xf numFmtId="164" fontId="0" fillId="22" borderId="1" xfId="1" applyNumberFormat="1" applyFont="1" applyFill="1" applyBorder="1"/>
    <xf numFmtId="0" fontId="0" fillId="14" borderId="0" xfId="0" applyFill="1" applyProtection="1">
      <protection locked="0"/>
    </xf>
    <xf numFmtId="164" fontId="0" fillId="7" borderId="1" xfId="0" applyNumberFormat="1" applyFill="1" applyBorder="1"/>
    <xf numFmtId="164" fontId="1" fillId="8" borderId="1" xfId="1" applyNumberFormat="1" applyFont="1" applyFill="1" applyBorder="1"/>
    <xf numFmtId="164" fontId="0" fillId="32" borderId="1" xfId="1" applyNumberFormat="1" applyFont="1" applyFill="1" applyBorder="1"/>
    <xf numFmtId="164" fontId="0" fillId="19" borderId="1" xfId="1" applyNumberFormat="1" applyFon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0" fillId="0" borderId="21" xfId="0" applyNumberFormat="1" applyBorder="1" applyAlignment="1">
      <alignment horizontal="left" vertical="center"/>
    </xf>
    <xf numFmtId="3" fontId="0" fillId="18" borderId="21" xfId="0" applyNumberFormat="1" applyFill="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0" fillId="18" borderId="21" xfId="0" applyNumberFormat="1" applyFill="1" applyBorder="1" applyAlignment="1">
      <alignment horizontal="left" vertical="center" wrapText="1"/>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TableStyleMedium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2"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1" t="s">
        <v>0</v>
      </c>
      <c r="D2" s="221"/>
      <c r="E2" s="221"/>
      <c r="F2" s="221"/>
      <c r="G2" s="221"/>
      <c r="H2" s="221"/>
      <c r="I2" s="221"/>
      <c r="J2" s="221"/>
      <c r="K2" s="221"/>
      <c r="L2" s="221"/>
    </row>
    <row r="3" spans="3:14" ht="26.25" x14ac:dyDescent="0.25">
      <c r="C3" s="221" t="s">
        <v>1</v>
      </c>
      <c r="D3" s="221"/>
      <c r="E3" s="221"/>
      <c r="F3" s="221"/>
      <c r="G3" s="221"/>
      <c r="H3" s="221"/>
      <c r="I3" s="221"/>
      <c r="J3" s="221"/>
      <c r="K3" s="221"/>
      <c r="L3" s="221"/>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A1:CP2617"/>
  <sheetViews>
    <sheetView topLeftCell="D522" zoomScale="69" zoomScaleNormal="69" workbookViewId="0">
      <selection activeCell="L548" sqref="L548"/>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21.85546875" style="3" bestFit="1"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22" t="s">
        <v>0</v>
      </c>
      <c r="D2" s="223"/>
      <c r="E2" s="223"/>
      <c r="F2" s="223"/>
      <c r="G2" s="223"/>
      <c r="H2" s="223"/>
      <c r="I2" s="223"/>
      <c r="J2" s="223"/>
      <c r="K2" s="223"/>
      <c r="L2" s="224"/>
    </row>
    <row r="3" spans="3:17" ht="15.75" x14ac:dyDescent="0.25">
      <c r="C3" s="222" t="s">
        <v>1</v>
      </c>
      <c r="D3" s="223"/>
      <c r="E3" s="223"/>
      <c r="F3" s="223"/>
      <c r="G3" s="223"/>
      <c r="H3" s="223"/>
      <c r="I3" s="223"/>
      <c r="J3" s="223"/>
      <c r="K3" s="223"/>
      <c r="L3" s="224"/>
    </row>
    <row r="4" spans="3:17" ht="15.75" x14ac:dyDescent="0.25">
      <c r="C4" s="222" t="s">
        <v>2</v>
      </c>
      <c r="D4" s="223"/>
      <c r="E4" s="223"/>
      <c r="F4" s="223"/>
      <c r="G4" s="223"/>
      <c r="H4" s="223"/>
      <c r="I4" s="223"/>
      <c r="J4" s="223"/>
      <c r="K4" s="223"/>
      <c r="L4" s="224"/>
    </row>
    <row r="5" spans="3:17" ht="15.75" x14ac:dyDescent="0.25">
      <c r="C5" s="222"/>
      <c r="D5" s="223"/>
      <c r="E5" s="223"/>
      <c r="F5" s="223"/>
      <c r="G5" s="223"/>
      <c r="H5" s="223"/>
      <c r="I5" s="223"/>
      <c r="J5" s="223"/>
      <c r="K5" s="223"/>
      <c r="L5" s="224"/>
    </row>
    <row r="6" spans="3:17" ht="15.75" x14ac:dyDescent="0.25">
      <c r="C6" s="222"/>
      <c r="D6" s="223"/>
      <c r="E6" s="223"/>
      <c r="F6" s="223"/>
      <c r="G6" s="223"/>
      <c r="H6" s="223"/>
      <c r="I6" s="223"/>
      <c r="J6" s="223"/>
      <c r="K6" s="223"/>
      <c r="L6" s="224"/>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5">
        <v>1</v>
      </c>
      <c r="D9" s="197" t="s">
        <v>148</v>
      </c>
      <c r="E9" s="99" t="s">
        <v>168</v>
      </c>
      <c r="F9" s="199">
        <v>40000</v>
      </c>
      <c r="G9" s="6">
        <v>0</v>
      </c>
      <c r="H9" s="6">
        <v>0</v>
      </c>
      <c r="I9" s="6">
        <v>0</v>
      </c>
      <c r="J9" s="6"/>
      <c r="K9" s="6">
        <v>0</v>
      </c>
      <c r="L9" s="5"/>
      <c r="P9" s="136" t="s">
        <v>13</v>
      </c>
      <c r="Q9" s="3" t="s">
        <v>155</v>
      </c>
    </row>
    <row r="10" spans="3:17" ht="18.75" x14ac:dyDescent="0.3">
      <c r="C10" s="226"/>
      <c r="D10" s="197" t="s">
        <v>34</v>
      </c>
      <c r="E10" s="99" t="s">
        <v>168</v>
      </c>
      <c r="F10" s="199">
        <v>10000</v>
      </c>
      <c r="G10" s="6">
        <v>0</v>
      </c>
      <c r="H10" s="6">
        <v>0</v>
      </c>
      <c r="I10" s="6">
        <v>0</v>
      </c>
      <c r="J10" s="6"/>
      <c r="K10" s="6">
        <v>0</v>
      </c>
      <c r="L10" s="5"/>
      <c r="Q10" s="109" t="s">
        <v>14</v>
      </c>
    </row>
    <row r="11" spans="3:17" ht="18.75" x14ac:dyDescent="0.3">
      <c r="C11" s="226"/>
      <c r="D11" s="197" t="s">
        <v>20</v>
      </c>
      <c r="E11" s="99" t="s">
        <v>168</v>
      </c>
      <c r="F11" s="199">
        <v>25852</v>
      </c>
      <c r="G11" s="6">
        <v>0</v>
      </c>
      <c r="H11" s="6">
        <v>0</v>
      </c>
      <c r="I11" s="6">
        <v>0</v>
      </c>
      <c r="J11" s="6"/>
      <c r="K11" s="6">
        <v>0</v>
      </c>
      <c r="L11" s="5"/>
      <c r="Q11" s="110" t="s">
        <v>15</v>
      </c>
    </row>
    <row r="12" spans="3:17" ht="18.75" x14ac:dyDescent="0.3">
      <c r="C12" s="226"/>
      <c r="D12" s="197" t="s">
        <v>22</v>
      </c>
      <c r="E12" s="99" t="s">
        <v>168</v>
      </c>
      <c r="F12" s="199">
        <v>145100</v>
      </c>
      <c r="G12" s="6">
        <v>0</v>
      </c>
      <c r="H12" s="6">
        <v>0</v>
      </c>
      <c r="I12" s="6">
        <v>0</v>
      </c>
      <c r="J12" s="6"/>
      <c r="K12" s="6">
        <v>0</v>
      </c>
      <c r="L12" s="5"/>
      <c r="Q12" s="110" t="s">
        <v>16</v>
      </c>
    </row>
    <row r="13" spans="3:17" ht="18.75" x14ac:dyDescent="0.3">
      <c r="C13" s="226"/>
      <c r="D13" s="197" t="s">
        <v>44</v>
      </c>
      <c r="E13" s="99" t="s">
        <v>169</v>
      </c>
      <c r="F13" s="6">
        <v>0</v>
      </c>
      <c r="G13" s="199">
        <v>65000</v>
      </c>
      <c r="H13" s="6">
        <v>0</v>
      </c>
      <c r="I13" s="6">
        <v>0</v>
      </c>
      <c r="J13" s="6"/>
      <c r="K13" s="6">
        <v>0</v>
      </c>
      <c r="L13" s="5"/>
      <c r="Q13" s="110" t="s">
        <v>17</v>
      </c>
    </row>
    <row r="14" spans="3:17" ht="18.75" x14ac:dyDescent="0.3">
      <c r="C14" s="226"/>
      <c r="D14" s="197" t="s">
        <v>19</v>
      </c>
      <c r="E14" s="99" t="s">
        <v>168</v>
      </c>
      <c r="F14" s="200">
        <v>34450</v>
      </c>
      <c r="G14" s="6">
        <v>0</v>
      </c>
      <c r="H14" s="6">
        <v>0</v>
      </c>
      <c r="I14" s="6">
        <v>0</v>
      </c>
      <c r="J14" s="6"/>
      <c r="K14" s="6">
        <v>0</v>
      </c>
      <c r="L14" s="5"/>
      <c r="Q14" s="110" t="s">
        <v>99</v>
      </c>
    </row>
    <row r="15" spans="3:17" ht="18.75" x14ac:dyDescent="0.3">
      <c r="C15" s="226"/>
      <c r="D15" s="197" t="s">
        <v>18</v>
      </c>
      <c r="E15" s="99" t="s">
        <v>168</v>
      </c>
      <c r="F15" s="200">
        <v>22850</v>
      </c>
      <c r="G15" s="6">
        <v>0</v>
      </c>
      <c r="H15" s="6">
        <v>0</v>
      </c>
      <c r="I15" s="6">
        <v>0</v>
      </c>
      <c r="J15" s="6"/>
      <c r="K15" s="6">
        <v>0</v>
      </c>
      <c r="L15" s="5"/>
      <c r="Q15" s="110" t="s">
        <v>18</v>
      </c>
    </row>
    <row r="16" spans="3:17" ht="18.75" x14ac:dyDescent="0.3">
      <c r="C16" s="226"/>
      <c r="D16" s="197" t="s">
        <v>40</v>
      </c>
      <c r="E16" s="99" t="s">
        <v>168</v>
      </c>
      <c r="F16" s="200">
        <v>38050</v>
      </c>
      <c r="G16" s="6">
        <v>0</v>
      </c>
      <c r="H16" s="6">
        <v>0</v>
      </c>
      <c r="I16" s="6">
        <v>0</v>
      </c>
      <c r="J16" s="6"/>
      <c r="K16" s="6">
        <v>0</v>
      </c>
      <c r="L16" s="5"/>
      <c r="Q16" s="110" t="s">
        <v>103</v>
      </c>
    </row>
    <row r="17" spans="3:17" ht="18.75" x14ac:dyDescent="0.3">
      <c r="C17" s="226"/>
      <c r="D17" s="99" t="s">
        <v>170</v>
      </c>
      <c r="E17" s="99" t="s">
        <v>171</v>
      </c>
      <c r="F17" s="6">
        <v>0</v>
      </c>
      <c r="G17" s="6">
        <v>0</v>
      </c>
      <c r="H17" s="6">
        <v>0</v>
      </c>
      <c r="I17" s="200">
        <v>5000</v>
      </c>
      <c r="J17" s="6"/>
      <c r="K17" s="6">
        <v>0</v>
      </c>
      <c r="L17" s="5"/>
      <c r="Q17" s="110" t="s">
        <v>19</v>
      </c>
    </row>
    <row r="18" spans="3:17" ht="18.75" x14ac:dyDescent="0.3">
      <c r="C18" s="226"/>
      <c r="D18" s="197" t="s">
        <v>19</v>
      </c>
      <c r="E18" s="99" t="s">
        <v>168</v>
      </c>
      <c r="F18" s="200">
        <v>8990</v>
      </c>
      <c r="G18" s="6">
        <v>0</v>
      </c>
      <c r="H18" s="6">
        <v>0</v>
      </c>
      <c r="I18" s="6">
        <v>0</v>
      </c>
      <c r="J18" s="6"/>
      <c r="K18" s="6">
        <v>0</v>
      </c>
      <c r="L18" s="5"/>
      <c r="Q18" s="110" t="s">
        <v>20</v>
      </c>
    </row>
    <row r="19" spans="3:17" ht="18.75" x14ac:dyDescent="0.3">
      <c r="C19" s="226"/>
      <c r="D19" s="99" t="s">
        <v>170</v>
      </c>
      <c r="E19" s="99" t="s">
        <v>171</v>
      </c>
      <c r="F19" s="6">
        <v>0</v>
      </c>
      <c r="G19" s="6">
        <v>0</v>
      </c>
      <c r="H19" s="6">
        <v>0</v>
      </c>
      <c r="I19" s="200">
        <v>5000</v>
      </c>
      <c r="J19" s="6"/>
      <c r="K19" s="6">
        <v>0</v>
      </c>
      <c r="L19" s="108"/>
      <c r="Q19" s="110" t="s">
        <v>21</v>
      </c>
    </row>
    <row r="20" spans="3:17" ht="18.75" x14ac:dyDescent="0.3">
      <c r="C20" s="226"/>
      <c r="D20" s="197" t="s">
        <v>148</v>
      </c>
      <c r="E20" s="99" t="s">
        <v>168</v>
      </c>
      <c r="F20" s="200">
        <v>76900</v>
      </c>
      <c r="G20" s="6">
        <v>0</v>
      </c>
      <c r="H20" s="6">
        <v>0</v>
      </c>
      <c r="I20" s="6">
        <v>0</v>
      </c>
      <c r="J20" s="6"/>
      <c r="K20" s="6">
        <v>0</v>
      </c>
      <c r="L20" s="5"/>
      <c r="Q20" s="110" t="s">
        <v>22</v>
      </c>
    </row>
    <row r="21" spans="3:17" ht="18.75" x14ac:dyDescent="0.3">
      <c r="C21" s="226"/>
      <c r="D21" s="197" t="s">
        <v>37</v>
      </c>
      <c r="E21" s="5" t="s">
        <v>172</v>
      </c>
      <c r="F21" s="6">
        <v>0</v>
      </c>
      <c r="G21" s="202">
        <v>55000</v>
      </c>
      <c r="H21" s="6">
        <v>0</v>
      </c>
      <c r="I21" s="6">
        <v>0</v>
      </c>
      <c r="J21" s="6"/>
      <c r="K21" s="6">
        <v>0</v>
      </c>
      <c r="L21" s="108"/>
      <c r="Q21" s="110" t="s">
        <v>104</v>
      </c>
    </row>
    <row r="22" spans="3:17" ht="18.75" x14ac:dyDescent="0.3">
      <c r="C22" s="226"/>
      <c r="D22" s="197" t="s">
        <v>145</v>
      </c>
      <c r="E22" s="5" t="s">
        <v>172</v>
      </c>
      <c r="F22" s="6">
        <v>0</v>
      </c>
      <c r="G22" s="202">
        <v>55000</v>
      </c>
      <c r="H22" s="6">
        <v>0</v>
      </c>
      <c r="I22" s="6">
        <v>0</v>
      </c>
      <c r="J22" s="6"/>
      <c r="K22" s="6">
        <v>0</v>
      </c>
      <c r="L22" s="108"/>
      <c r="Q22" s="110" t="s">
        <v>23</v>
      </c>
    </row>
    <row r="23" spans="3:17" ht="18.75" x14ac:dyDescent="0.3">
      <c r="C23" s="226"/>
      <c r="D23" s="197"/>
      <c r="E23" s="99"/>
      <c r="F23" s="6">
        <v>0</v>
      </c>
      <c r="G23" s="6">
        <v>0</v>
      </c>
      <c r="H23" s="6">
        <v>0</v>
      </c>
      <c r="I23" s="6">
        <v>0</v>
      </c>
      <c r="J23" s="6"/>
      <c r="K23" s="6">
        <v>0</v>
      </c>
      <c r="L23" s="198">
        <f>SUM(F9:F12)+G13</f>
        <v>285952</v>
      </c>
      <c r="Q23" s="110" t="s">
        <v>24</v>
      </c>
    </row>
    <row r="24" spans="3:17" ht="18.75" x14ac:dyDescent="0.3">
      <c r="C24" s="227"/>
      <c r="D24" s="197"/>
      <c r="E24" s="99"/>
      <c r="F24" s="6">
        <v>0</v>
      </c>
      <c r="G24" s="6">
        <v>0</v>
      </c>
      <c r="H24" s="6">
        <v>0</v>
      </c>
      <c r="I24" s="6">
        <v>0</v>
      </c>
      <c r="J24" s="6"/>
      <c r="K24" s="6">
        <v>0</v>
      </c>
      <c r="L24" s="201">
        <f>SUM(F14+F15+F16+I17+F18+I19+F20)</f>
        <v>191240</v>
      </c>
      <c r="Q24" s="110" t="s">
        <v>105</v>
      </c>
    </row>
    <row r="25" spans="3:17" ht="18.75" x14ac:dyDescent="0.3">
      <c r="C25" s="101"/>
      <c r="D25" s="117"/>
      <c r="E25" s="102" t="s">
        <v>27</v>
      </c>
      <c r="F25" s="33">
        <f>SUM(F9:F24)</f>
        <v>402192</v>
      </c>
      <c r="G25" s="33">
        <f>SUM(G9:G24)</f>
        <v>175000</v>
      </c>
      <c r="H25" s="33">
        <f>SUM(H9:H24)</f>
        <v>0</v>
      </c>
      <c r="I25" s="33">
        <f>SUM(I9:I24)</f>
        <v>10000</v>
      </c>
      <c r="J25" s="33">
        <f>SUM(J9:J24)</f>
        <v>0</v>
      </c>
      <c r="K25" s="33">
        <f>SUM(F25:J25)-J25</f>
        <v>587192</v>
      </c>
      <c r="L25" s="32"/>
      <c r="Q25" s="110" t="s">
        <v>100</v>
      </c>
    </row>
    <row r="26" spans="3:17" ht="18.75" x14ac:dyDescent="0.3">
      <c r="C26" s="225">
        <v>2</v>
      </c>
      <c r="D26" s="197" t="s">
        <v>145</v>
      </c>
      <c r="E26" s="99" t="s">
        <v>169</v>
      </c>
      <c r="F26" s="6">
        <v>0</v>
      </c>
      <c r="G26" s="200">
        <v>75000</v>
      </c>
      <c r="H26" s="6">
        <v>0</v>
      </c>
      <c r="I26" s="6">
        <v>0</v>
      </c>
      <c r="J26" s="6"/>
      <c r="K26" s="6">
        <v>0</v>
      </c>
      <c r="L26" s="5"/>
      <c r="Q26" s="110" t="s">
        <v>106</v>
      </c>
    </row>
    <row r="27" spans="3:17" ht="18.75" x14ac:dyDescent="0.3">
      <c r="C27" s="226"/>
      <c r="D27" s="197" t="s">
        <v>40</v>
      </c>
      <c r="E27" s="15" t="s">
        <v>168</v>
      </c>
      <c r="F27" s="199">
        <v>15320</v>
      </c>
      <c r="G27" s="6">
        <v>0</v>
      </c>
      <c r="H27" s="6">
        <v>0</v>
      </c>
      <c r="I27" s="6">
        <v>0</v>
      </c>
      <c r="J27" s="6"/>
      <c r="K27" s="6">
        <v>0</v>
      </c>
      <c r="L27" s="5"/>
      <c r="Q27" s="110" t="s">
        <v>25</v>
      </c>
    </row>
    <row r="28" spans="3:17" ht="18.75" x14ac:dyDescent="0.3">
      <c r="C28" s="226"/>
      <c r="D28" s="197" t="s">
        <v>19</v>
      </c>
      <c r="E28" s="99" t="s">
        <v>168</v>
      </c>
      <c r="F28" s="199">
        <v>33200</v>
      </c>
      <c r="G28" s="6">
        <v>0</v>
      </c>
      <c r="H28" s="6">
        <v>0</v>
      </c>
      <c r="I28" s="6">
        <v>0</v>
      </c>
      <c r="J28" s="6"/>
      <c r="K28" s="6">
        <v>0</v>
      </c>
      <c r="L28" s="5"/>
      <c r="Q28" s="110" t="s">
        <v>26</v>
      </c>
    </row>
    <row r="29" spans="3:17" ht="18.75" x14ac:dyDescent="0.3">
      <c r="C29" s="226"/>
      <c r="D29" s="197" t="s">
        <v>18</v>
      </c>
      <c r="E29" s="99" t="s">
        <v>168</v>
      </c>
      <c r="F29" s="199">
        <v>10850</v>
      </c>
      <c r="G29" s="6">
        <v>0</v>
      </c>
      <c r="H29" s="6">
        <v>0</v>
      </c>
      <c r="I29" s="6">
        <v>0</v>
      </c>
      <c r="J29" s="6"/>
      <c r="K29" s="6">
        <v>0</v>
      </c>
      <c r="L29" s="5"/>
      <c r="Q29" s="110" t="s">
        <v>107</v>
      </c>
    </row>
    <row r="30" spans="3:17" ht="18.75" x14ac:dyDescent="0.3">
      <c r="C30" s="226"/>
      <c r="D30" s="197" t="s">
        <v>38</v>
      </c>
      <c r="E30" s="99" t="s">
        <v>168</v>
      </c>
      <c r="F30" s="204">
        <v>199850</v>
      </c>
      <c r="G30" s="6">
        <v>0</v>
      </c>
      <c r="H30" s="6">
        <v>0</v>
      </c>
      <c r="I30" s="6">
        <v>0</v>
      </c>
      <c r="J30" s="6"/>
      <c r="K30" s="6">
        <v>0</v>
      </c>
      <c r="L30" s="5"/>
      <c r="Q30" s="110" t="s">
        <v>28</v>
      </c>
    </row>
    <row r="31" spans="3:17" ht="18.75" x14ac:dyDescent="0.3">
      <c r="C31" s="226"/>
      <c r="D31" s="197" t="s">
        <v>19</v>
      </c>
      <c r="E31" s="99" t="s">
        <v>168</v>
      </c>
      <c r="F31" s="204">
        <v>14370</v>
      </c>
      <c r="G31" s="6">
        <v>0</v>
      </c>
      <c r="H31" s="6">
        <v>0</v>
      </c>
      <c r="I31" s="6">
        <v>0</v>
      </c>
      <c r="J31" s="6"/>
      <c r="K31" s="6">
        <v>0</v>
      </c>
      <c r="L31" s="5"/>
      <c r="Q31" s="110" t="s">
        <v>108</v>
      </c>
    </row>
    <row r="32" spans="3:17" ht="18.75" x14ac:dyDescent="0.3">
      <c r="C32" s="226"/>
      <c r="D32" s="197" t="s">
        <v>37</v>
      </c>
      <c r="E32" s="5" t="s">
        <v>172</v>
      </c>
      <c r="F32" s="6">
        <v>0</v>
      </c>
      <c r="G32" s="200">
        <v>75000</v>
      </c>
      <c r="H32" s="6">
        <v>0</v>
      </c>
      <c r="I32" s="6">
        <v>0</v>
      </c>
      <c r="J32" s="6"/>
      <c r="K32" s="6">
        <v>0</v>
      </c>
      <c r="L32" s="5"/>
      <c r="Q32" s="110" t="s">
        <v>29</v>
      </c>
    </row>
    <row r="33" spans="3:17" ht="18.75" x14ac:dyDescent="0.3">
      <c r="C33" s="226"/>
      <c r="D33" s="197" t="s">
        <v>44</v>
      </c>
      <c r="E33" s="5" t="s">
        <v>172</v>
      </c>
      <c r="F33" s="6">
        <v>0</v>
      </c>
      <c r="G33" s="200">
        <v>75000</v>
      </c>
      <c r="H33" s="6">
        <v>0</v>
      </c>
      <c r="I33" s="6">
        <v>0</v>
      </c>
      <c r="J33" s="6"/>
      <c r="K33" s="6">
        <v>0</v>
      </c>
      <c r="L33" s="5"/>
      <c r="Q33" s="110" t="s">
        <v>30</v>
      </c>
    </row>
    <row r="34" spans="3:17" ht="18.75" x14ac:dyDescent="0.3">
      <c r="C34" s="226"/>
      <c r="D34" s="99" t="s">
        <v>174</v>
      </c>
      <c r="E34" s="99" t="s">
        <v>173</v>
      </c>
      <c r="F34" s="6">
        <v>0</v>
      </c>
      <c r="G34" s="204">
        <v>8000</v>
      </c>
      <c r="H34" s="6">
        <v>0</v>
      </c>
      <c r="I34" s="6">
        <v>0</v>
      </c>
      <c r="J34" s="6"/>
      <c r="K34" s="6">
        <v>0</v>
      </c>
      <c r="L34" s="5"/>
      <c r="Q34" s="110" t="s">
        <v>31</v>
      </c>
    </row>
    <row r="35" spans="3:17" ht="18.75" x14ac:dyDescent="0.3">
      <c r="C35" s="226"/>
      <c r="D35" s="197" t="s">
        <v>148</v>
      </c>
      <c r="E35" s="99" t="s">
        <v>168</v>
      </c>
      <c r="F35" s="204">
        <v>147200</v>
      </c>
      <c r="G35" s="6">
        <v>0</v>
      </c>
      <c r="H35" s="6"/>
      <c r="I35" s="6">
        <v>0</v>
      </c>
      <c r="J35" s="6"/>
      <c r="K35" s="6">
        <v>0</v>
      </c>
      <c r="L35" s="5"/>
      <c r="Q35" s="110" t="s">
        <v>32</v>
      </c>
    </row>
    <row r="36" spans="3:17" ht="18.75" x14ac:dyDescent="0.3">
      <c r="C36" s="226"/>
      <c r="D36" s="99" t="s">
        <v>175</v>
      </c>
      <c r="E36" s="99" t="s">
        <v>168</v>
      </c>
      <c r="F36" s="6">
        <v>0</v>
      </c>
      <c r="G36" s="6">
        <v>0</v>
      </c>
      <c r="H36" s="6">
        <v>0</v>
      </c>
      <c r="I36" s="204">
        <v>10000</v>
      </c>
      <c r="J36" s="6"/>
      <c r="K36" s="6">
        <v>0</v>
      </c>
      <c r="L36" s="5"/>
      <c r="Q36" s="110" t="s">
        <v>109</v>
      </c>
    </row>
    <row r="37" spans="3:17" ht="18.75" x14ac:dyDescent="0.3">
      <c r="C37" s="226"/>
      <c r="D37" s="99" t="s">
        <v>171</v>
      </c>
      <c r="E37" s="99" t="s">
        <v>171</v>
      </c>
      <c r="F37" s="6">
        <v>0</v>
      </c>
      <c r="G37" s="6">
        <v>0</v>
      </c>
      <c r="H37" s="6">
        <v>0</v>
      </c>
      <c r="I37" s="204">
        <v>5000</v>
      </c>
      <c r="J37" s="6"/>
      <c r="K37" s="6">
        <v>0</v>
      </c>
      <c r="L37" s="5"/>
      <c r="Q37" s="110" t="s">
        <v>33</v>
      </c>
    </row>
    <row r="38" spans="3:17" ht="18.75" x14ac:dyDescent="0.3">
      <c r="C38" s="226"/>
      <c r="D38" s="197" t="s">
        <v>22</v>
      </c>
      <c r="E38" s="99" t="s">
        <v>168</v>
      </c>
      <c r="F38" s="204">
        <v>153200</v>
      </c>
      <c r="G38" s="6">
        <v>0</v>
      </c>
      <c r="H38" s="6">
        <v>0</v>
      </c>
      <c r="I38" s="6">
        <v>0</v>
      </c>
      <c r="J38" s="6"/>
      <c r="K38" s="6">
        <v>0</v>
      </c>
      <c r="L38" s="5"/>
      <c r="Q38" s="110" t="s">
        <v>34</v>
      </c>
    </row>
    <row r="39" spans="3:17" ht="18.75" x14ac:dyDescent="0.3">
      <c r="C39" s="226"/>
      <c r="D39" s="197"/>
      <c r="E39" s="99"/>
      <c r="F39" s="6">
        <v>0</v>
      </c>
      <c r="G39" s="6">
        <v>0</v>
      </c>
      <c r="H39" s="6">
        <v>0</v>
      </c>
      <c r="I39" s="6">
        <v>0</v>
      </c>
      <c r="J39" s="6"/>
      <c r="K39" s="6">
        <v>0</v>
      </c>
      <c r="L39" s="5"/>
      <c r="Q39" s="110" t="s">
        <v>35</v>
      </c>
    </row>
    <row r="40" spans="3:17" ht="18.75" x14ac:dyDescent="0.3">
      <c r="C40" s="226"/>
      <c r="D40" s="197"/>
      <c r="E40" s="99"/>
      <c r="F40" s="6">
        <v>0</v>
      </c>
      <c r="G40" s="6">
        <v>0</v>
      </c>
      <c r="H40" s="6">
        <v>0</v>
      </c>
      <c r="I40" s="6">
        <v>0</v>
      </c>
      <c r="J40" s="6"/>
      <c r="K40" s="6">
        <v>0</v>
      </c>
      <c r="L40" s="5"/>
      <c r="Q40" s="110" t="s">
        <v>110</v>
      </c>
    </row>
    <row r="41" spans="3:17" ht="18.75" x14ac:dyDescent="0.3">
      <c r="C41" s="226"/>
      <c r="D41" s="197"/>
      <c r="E41" s="99"/>
      <c r="F41" s="6">
        <v>0</v>
      </c>
      <c r="G41" s="6">
        <v>0</v>
      </c>
      <c r="H41" s="6">
        <v>0</v>
      </c>
      <c r="I41" s="6">
        <v>0</v>
      </c>
      <c r="J41" s="6"/>
      <c r="K41" s="6">
        <v>0</v>
      </c>
      <c r="L41" s="203">
        <f>SUM(G26)</f>
        <v>75000</v>
      </c>
      <c r="Q41" s="110" t="s">
        <v>102</v>
      </c>
    </row>
    <row r="42" spans="3:17" ht="18.75" x14ac:dyDescent="0.3">
      <c r="C42" s="227"/>
      <c r="D42" s="197"/>
      <c r="E42" s="99"/>
      <c r="F42" s="6">
        <v>0</v>
      </c>
      <c r="G42" s="6">
        <v>0</v>
      </c>
      <c r="H42" s="6">
        <v>0</v>
      </c>
      <c r="I42" s="6">
        <v>0</v>
      </c>
      <c r="J42" s="6"/>
      <c r="K42" s="6">
        <v>0</v>
      </c>
      <c r="L42" s="198">
        <f>SUM(F27:F29)</f>
        <v>59370</v>
      </c>
      <c r="Q42" s="110" t="s">
        <v>111</v>
      </c>
    </row>
    <row r="43" spans="3:17" ht="18.75" x14ac:dyDescent="0.3">
      <c r="C43" s="101"/>
      <c r="D43" s="117"/>
      <c r="E43" s="102" t="s">
        <v>27</v>
      </c>
      <c r="F43" s="33">
        <f>SUM(F26:F42)</f>
        <v>573990</v>
      </c>
      <c r="G43" s="33">
        <f>SUM(G26:G42)</f>
        <v>233000</v>
      </c>
      <c r="H43" s="33">
        <f>SUM(H26:H42)</f>
        <v>0</v>
      </c>
      <c r="I43" s="33">
        <f>SUM(I26:I42)</f>
        <v>15000</v>
      </c>
      <c r="J43" s="33">
        <f>SUM(J26:J42)</f>
        <v>0</v>
      </c>
      <c r="K43" s="33">
        <f>SUM(F43:J43)-J43</f>
        <v>821990</v>
      </c>
      <c r="L43" s="16">
        <f>L41+L42</f>
        <v>134370</v>
      </c>
      <c r="Q43" s="110" t="s">
        <v>36</v>
      </c>
    </row>
    <row r="44" spans="3:17" ht="18.75" x14ac:dyDescent="0.3">
      <c r="C44" s="225">
        <v>3</v>
      </c>
      <c r="D44" s="197" t="s">
        <v>40</v>
      </c>
      <c r="E44" s="99" t="s">
        <v>168</v>
      </c>
      <c r="F44" s="199">
        <v>35280</v>
      </c>
      <c r="G44" s="6">
        <v>0</v>
      </c>
      <c r="H44" s="6">
        <v>0</v>
      </c>
      <c r="I44" s="6">
        <v>0</v>
      </c>
      <c r="J44" s="6"/>
      <c r="K44" s="6">
        <v>0</v>
      </c>
      <c r="L44" s="5"/>
      <c r="Q44" s="110" t="s">
        <v>37</v>
      </c>
    </row>
    <row r="45" spans="3:17" ht="18.75" x14ac:dyDescent="0.3">
      <c r="C45" s="226"/>
      <c r="D45" s="197" t="s">
        <v>40</v>
      </c>
      <c r="E45" s="99" t="s">
        <v>168</v>
      </c>
      <c r="F45" s="199">
        <v>4700</v>
      </c>
      <c r="G45" s="6">
        <v>0</v>
      </c>
      <c r="H45" s="6">
        <v>0</v>
      </c>
      <c r="I45" s="6">
        <v>0</v>
      </c>
      <c r="J45" s="6"/>
      <c r="K45" s="6">
        <v>0</v>
      </c>
      <c r="L45" s="5"/>
      <c r="Q45" s="110" t="s">
        <v>112</v>
      </c>
    </row>
    <row r="46" spans="3:17" ht="18.75" x14ac:dyDescent="0.3">
      <c r="C46" s="226"/>
      <c r="D46" s="197" t="s">
        <v>34</v>
      </c>
      <c r="E46" s="99" t="s">
        <v>168</v>
      </c>
      <c r="F46" s="199">
        <v>20000</v>
      </c>
      <c r="G46" s="6">
        <v>0</v>
      </c>
      <c r="H46" s="6">
        <v>0</v>
      </c>
      <c r="I46" s="6">
        <v>0</v>
      </c>
      <c r="J46" s="6"/>
      <c r="K46" s="6">
        <v>0</v>
      </c>
      <c r="L46" s="5"/>
      <c r="Q46" s="110" t="s">
        <v>113</v>
      </c>
    </row>
    <row r="47" spans="3:17" ht="18.75" x14ac:dyDescent="0.3">
      <c r="C47" s="226"/>
      <c r="D47" s="99" t="s">
        <v>176</v>
      </c>
      <c r="E47" s="99" t="s">
        <v>177</v>
      </c>
      <c r="F47" s="6">
        <v>0</v>
      </c>
      <c r="G47" s="6">
        <v>0</v>
      </c>
      <c r="H47" s="6">
        <v>0</v>
      </c>
      <c r="I47" s="205">
        <v>19900</v>
      </c>
      <c r="J47" s="6"/>
      <c r="K47" s="6">
        <v>0</v>
      </c>
      <c r="L47" s="5"/>
      <c r="Q47" s="110" t="s">
        <v>114</v>
      </c>
    </row>
    <row r="48" spans="3:17" ht="18.75" x14ac:dyDescent="0.3">
      <c r="C48" s="226"/>
      <c r="D48" s="197" t="s">
        <v>15</v>
      </c>
      <c r="E48" s="99" t="s">
        <v>168</v>
      </c>
      <c r="F48" s="199">
        <v>51000</v>
      </c>
      <c r="G48" s="6">
        <v>0</v>
      </c>
      <c r="H48" s="6">
        <v>0</v>
      </c>
      <c r="I48" s="6">
        <v>0</v>
      </c>
      <c r="J48" s="6"/>
      <c r="K48" s="6">
        <v>0</v>
      </c>
      <c r="L48" s="5"/>
      <c r="Q48" s="110" t="s">
        <v>115</v>
      </c>
    </row>
    <row r="49" spans="3:17" ht="18.75" x14ac:dyDescent="0.3">
      <c r="C49" s="226"/>
      <c r="D49" s="197" t="s">
        <v>40</v>
      </c>
      <c r="E49" s="99" t="s">
        <v>168</v>
      </c>
      <c r="F49" s="199">
        <v>2410</v>
      </c>
      <c r="G49" s="6">
        <v>0</v>
      </c>
      <c r="H49" s="6">
        <v>0</v>
      </c>
      <c r="I49" s="6">
        <v>0</v>
      </c>
      <c r="J49" s="6"/>
      <c r="K49" s="6">
        <v>0</v>
      </c>
      <c r="L49" s="5"/>
      <c r="Q49" s="110" t="s">
        <v>38</v>
      </c>
    </row>
    <row r="50" spans="3:17" ht="18.75" x14ac:dyDescent="0.3">
      <c r="C50" s="226"/>
      <c r="D50" s="197" t="s">
        <v>18</v>
      </c>
      <c r="E50" s="99" t="s">
        <v>168</v>
      </c>
      <c r="F50" s="199">
        <v>16890</v>
      </c>
      <c r="G50" s="6">
        <v>0</v>
      </c>
      <c r="H50" s="6">
        <v>0</v>
      </c>
      <c r="I50" s="6">
        <v>0</v>
      </c>
      <c r="J50" s="6"/>
      <c r="K50" s="6">
        <v>0</v>
      </c>
      <c r="L50" s="5"/>
      <c r="Q50" s="110" t="s">
        <v>116</v>
      </c>
    </row>
    <row r="51" spans="3:17" ht="18.75" x14ac:dyDescent="0.3">
      <c r="C51" s="226"/>
      <c r="D51" s="197" t="s">
        <v>19</v>
      </c>
      <c r="E51" s="99" t="s">
        <v>168</v>
      </c>
      <c r="F51" s="199">
        <v>47690</v>
      </c>
      <c r="G51" s="6">
        <v>0</v>
      </c>
      <c r="H51" s="6">
        <v>0</v>
      </c>
      <c r="I51" s="6">
        <v>0</v>
      </c>
      <c r="J51" s="6"/>
      <c r="K51" s="6">
        <v>0</v>
      </c>
      <c r="L51" s="5"/>
      <c r="Q51" s="110" t="s">
        <v>117</v>
      </c>
    </row>
    <row r="52" spans="3:17" ht="18.75" x14ac:dyDescent="0.3">
      <c r="C52" s="226"/>
      <c r="D52" s="197" t="s">
        <v>154</v>
      </c>
      <c r="E52" s="99" t="s">
        <v>169</v>
      </c>
      <c r="F52" s="6">
        <v>0</v>
      </c>
      <c r="G52" s="199">
        <v>65000</v>
      </c>
      <c r="H52" s="6">
        <v>0</v>
      </c>
      <c r="I52" s="6">
        <v>0</v>
      </c>
      <c r="J52" s="6"/>
      <c r="K52" s="6">
        <v>0</v>
      </c>
      <c r="L52" s="5"/>
      <c r="Q52" s="110" t="s">
        <v>118</v>
      </c>
    </row>
    <row r="53" spans="3:17" ht="18.75" x14ac:dyDescent="0.3">
      <c r="C53" s="226"/>
      <c r="D53" s="197" t="s">
        <v>37</v>
      </c>
      <c r="E53" s="99" t="s">
        <v>169</v>
      </c>
      <c r="F53" s="6">
        <v>0</v>
      </c>
      <c r="G53" s="199">
        <v>65000</v>
      </c>
      <c r="H53" s="6">
        <v>0</v>
      </c>
      <c r="I53" s="6">
        <v>0</v>
      </c>
      <c r="J53" s="6"/>
      <c r="K53" s="6">
        <v>0</v>
      </c>
      <c r="L53" s="5"/>
      <c r="Q53" s="110" t="s">
        <v>39</v>
      </c>
    </row>
    <row r="54" spans="3:17" ht="18.75" x14ac:dyDescent="0.3">
      <c r="C54" s="226"/>
      <c r="D54" s="99" t="s">
        <v>178</v>
      </c>
      <c r="E54" s="99" t="s">
        <v>179</v>
      </c>
      <c r="F54" s="6">
        <v>0</v>
      </c>
      <c r="G54" s="6">
        <v>0</v>
      </c>
      <c r="H54" s="6">
        <v>0</v>
      </c>
      <c r="I54" s="199">
        <v>3000</v>
      </c>
      <c r="J54" s="6"/>
      <c r="K54" s="6">
        <v>0</v>
      </c>
      <c r="L54" s="5"/>
      <c r="Q54" s="110" t="s">
        <v>141</v>
      </c>
    </row>
    <row r="55" spans="3:17" ht="18.75" x14ac:dyDescent="0.3">
      <c r="C55" s="226"/>
      <c r="D55" s="197" t="s">
        <v>127</v>
      </c>
      <c r="E55" s="99" t="s">
        <v>168</v>
      </c>
      <c r="F55" s="200">
        <v>20000</v>
      </c>
      <c r="G55" s="6">
        <v>0</v>
      </c>
      <c r="H55" s="6">
        <v>0</v>
      </c>
      <c r="I55" s="6">
        <v>0</v>
      </c>
      <c r="J55" s="6"/>
      <c r="K55" s="6">
        <v>0</v>
      </c>
      <c r="L55" s="5"/>
      <c r="Q55" s="110" t="s">
        <v>119</v>
      </c>
    </row>
    <row r="56" spans="3:17" ht="18.75" x14ac:dyDescent="0.3">
      <c r="C56" s="226"/>
      <c r="D56" s="197" t="s">
        <v>127</v>
      </c>
      <c r="E56" s="99" t="s">
        <v>168</v>
      </c>
      <c r="F56" s="200">
        <v>27000</v>
      </c>
      <c r="G56" s="6">
        <v>0</v>
      </c>
      <c r="H56" s="6">
        <v>0</v>
      </c>
      <c r="I56" s="6">
        <v>0</v>
      </c>
      <c r="J56" s="6"/>
      <c r="K56" s="6">
        <v>0</v>
      </c>
      <c r="L56" s="5"/>
      <c r="Q56" s="110" t="s">
        <v>40</v>
      </c>
    </row>
    <row r="57" spans="3:17" ht="18.75" x14ac:dyDescent="0.3">
      <c r="C57" s="226"/>
      <c r="D57" s="197" t="s">
        <v>148</v>
      </c>
      <c r="E57" s="99" t="s">
        <v>168</v>
      </c>
      <c r="F57" s="200">
        <v>157600</v>
      </c>
      <c r="G57" s="6">
        <v>0</v>
      </c>
      <c r="H57" s="6">
        <v>0</v>
      </c>
      <c r="I57" s="6">
        <v>0</v>
      </c>
      <c r="J57" s="6"/>
      <c r="K57" s="6">
        <v>0</v>
      </c>
      <c r="L57" s="206">
        <f>SUM(F44)+F45+F46+F48+F49+F50+F51+G52+G53+I54</f>
        <v>310970</v>
      </c>
      <c r="Q57" s="110" t="s">
        <v>41</v>
      </c>
    </row>
    <row r="58" spans="3:17" ht="18.75" x14ac:dyDescent="0.3">
      <c r="C58" s="226"/>
      <c r="D58" s="197" t="s">
        <v>45</v>
      </c>
      <c r="E58" s="99" t="s">
        <v>171</v>
      </c>
      <c r="F58" s="6">
        <v>0</v>
      </c>
      <c r="G58" s="6">
        <v>0</v>
      </c>
      <c r="H58" s="6">
        <v>0</v>
      </c>
      <c r="I58" s="200">
        <v>5000</v>
      </c>
      <c r="J58" s="6"/>
      <c r="K58" s="6">
        <v>0</v>
      </c>
      <c r="L58" s="201">
        <f>SUM(F55+F56+F57+I58+G59+G60)</f>
        <v>339600</v>
      </c>
      <c r="Q58" s="110" t="s">
        <v>42</v>
      </c>
    </row>
    <row r="59" spans="3:17" ht="18.75" x14ac:dyDescent="0.3">
      <c r="C59" s="226"/>
      <c r="D59" s="197" t="s">
        <v>44</v>
      </c>
      <c r="E59" s="5" t="s">
        <v>172</v>
      </c>
      <c r="F59" s="6">
        <v>0</v>
      </c>
      <c r="G59" s="200">
        <v>65000</v>
      </c>
      <c r="H59" s="6">
        <v>0</v>
      </c>
      <c r="I59" s="6">
        <v>0</v>
      </c>
      <c r="J59" s="6"/>
      <c r="K59" s="6">
        <v>0</v>
      </c>
      <c r="L59" s="5"/>
      <c r="Q59" s="110" t="s">
        <v>120</v>
      </c>
    </row>
    <row r="60" spans="3:17" ht="18.75" x14ac:dyDescent="0.3">
      <c r="C60" s="226"/>
      <c r="D60" s="197" t="s">
        <v>145</v>
      </c>
      <c r="E60" s="5" t="s">
        <v>172</v>
      </c>
      <c r="F60" s="6">
        <v>0</v>
      </c>
      <c r="G60" s="200">
        <v>65000</v>
      </c>
      <c r="H60" s="6">
        <v>0</v>
      </c>
      <c r="I60" s="6">
        <v>0</v>
      </c>
      <c r="J60" s="6"/>
      <c r="K60" s="6">
        <v>0</v>
      </c>
      <c r="L60" s="5"/>
      <c r="Q60" s="110" t="s">
        <v>43</v>
      </c>
    </row>
    <row r="61" spans="3:17" ht="18.75" x14ac:dyDescent="0.3">
      <c r="C61" s="101"/>
      <c r="D61" s="117"/>
      <c r="E61" s="102" t="s">
        <v>27</v>
      </c>
      <c r="F61" s="33">
        <f>SUM(F44:F60)</f>
        <v>382570</v>
      </c>
      <c r="G61" s="33">
        <f>SUM(G44:G60)</f>
        <v>260000</v>
      </c>
      <c r="H61" s="33">
        <f>SUM(H44:H60)</f>
        <v>0</v>
      </c>
      <c r="I61" s="33">
        <f>SUM(I44:I60)</f>
        <v>27900</v>
      </c>
      <c r="J61" s="33">
        <f>SUM(J44:J60)</f>
        <v>0</v>
      </c>
      <c r="K61" s="33">
        <f>SUM(F61:J61)-J61</f>
        <v>670470</v>
      </c>
      <c r="L61" s="16"/>
      <c r="Q61" s="110" t="s">
        <v>121</v>
      </c>
    </row>
    <row r="62" spans="3:17" ht="18.75" x14ac:dyDescent="0.3">
      <c r="C62" s="225">
        <v>4</v>
      </c>
      <c r="D62" s="197" t="s">
        <v>35</v>
      </c>
      <c r="E62" s="15" t="s">
        <v>180</v>
      </c>
      <c r="F62" s="6">
        <v>0</v>
      </c>
      <c r="G62" s="6">
        <v>0</v>
      </c>
      <c r="H62" s="207">
        <v>2127000</v>
      </c>
      <c r="I62" s="6">
        <v>0</v>
      </c>
      <c r="J62" s="6"/>
      <c r="K62" s="6">
        <v>0</v>
      </c>
      <c r="L62" s="5"/>
      <c r="Q62" s="110" t="s">
        <v>122</v>
      </c>
    </row>
    <row r="63" spans="3:17" ht="18.75" x14ac:dyDescent="0.3">
      <c r="C63" s="226"/>
      <c r="D63" s="99" t="s">
        <v>109</v>
      </c>
      <c r="E63" s="99" t="s">
        <v>181</v>
      </c>
      <c r="F63" s="6">
        <v>0</v>
      </c>
      <c r="H63" s="208">
        <v>12097</v>
      </c>
      <c r="I63" s="6">
        <v>0</v>
      </c>
      <c r="J63" s="6"/>
      <c r="K63" s="6">
        <v>0</v>
      </c>
      <c r="L63" s="5"/>
      <c r="Q63" s="110" t="s">
        <v>123</v>
      </c>
    </row>
    <row r="64" spans="3:17" ht="18.75" x14ac:dyDescent="0.3">
      <c r="C64" s="226"/>
      <c r="D64" s="197" t="s">
        <v>103</v>
      </c>
      <c r="E64" s="99" t="s">
        <v>182</v>
      </c>
      <c r="F64" s="6">
        <v>0</v>
      </c>
      <c r="G64" s="6">
        <v>0</v>
      </c>
      <c r="H64" s="6">
        <v>0</v>
      </c>
      <c r="I64" s="207">
        <v>405800</v>
      </c>
      <c r="J64" s="6"/>
      <c r="K64" s="6">
        <v>0</v>
      </c>
      <c r="L64" s="5"/>
      <c r="Q64" s="110" t="s">
        <v>101</v>
      </c>
    </row>
    <row r="65" spans="3:17" ht="18.75" x14ac:dyDescent="0.3">
      <c r="C65" s="226"/>
      <c r="D65" s="197" t="s">
        <v>139</v>
      </c>
      <c r="E65" s="99" t="s">
        <v>168</v>
      </c>
      <c r="F65" s="208">
        <v>15000</v>
      </c>
      <c r="G65" s="6">
        <v>0</v>
      </c>
      <c r="H65" s="6">
        <v>0</v>
      </c>
      <c r="I65" s="6">
        <v>0</v>
      </c>
      <c r="J65" s="6"/>
      <c r="K65" s="6">
        <v>0</v>
      </c>
      <c r="L65" s="5"/>
      <c r="Q65" s="110" t="s">
        <v>44</v>
      </c>
    </row>
    <row r="66" spans="3:17" ht="18.75" x14ac:dyDescent="0.3">
      <c r="C66" s="226"/>
      <c r="D66" s="197" t="s">
        <v>145</v>
      </c>
      <c r="E66" s="99" t="s">
        <v>169</v>
      </c>
      <c r="F66" s="6">
        <v>0</v>
      </c>
      <c r="G66" s="208">
        <v>50000</v>
      </c>
      <c r="H66" s="6">
        <v>0</v>
      </c>
      <c r="I66" s="6">
        <v>0</v>
      </c>
      <c r="J66" s="6"/>
      <c r="K66" s="6">
        <v>0</v>
      </c>
      <c r="L66" s="5"/>
      <c r="Q66" s="112" t="s">
        <v>140</v>
      </c>
    </row>
    <row r="67" spans="3:17" ht="18.75" x14ac:dyDescent="0.3">
      <c r="C67" s="226"/>
      <c r="D67" s="197" t="s">
        <v>38</v>
      </c>
      <c r="E67" s="99" t="s">
        <v>168</v>
      </c>
      <c r="F67" s="204">
        <v>239900</v>
      </c>
      <c r="G67" s="6">
        <v>0</v>
      </c>
      <c r="H67" s="6">
        <v>0</v>
      </c>
      <c r="I67" s="6">
        <v>0</v>
      </c>
      <c r="J67" s="6"/>
      <c r="K67" s="6">
        <v>0</v>
      </c>
      <c r="L67" s="5"/>
      <c r="Q67" s="110" t="s">
        <v>124</v>
      </c>
    </row>
    <row r="68" spans="3:17" ht="18.75" x14ac:dyDescent="0.3">
      <c r="C68" s="226"/>
      <c r="D68" s="99" t="s">
        <v>174</v>
      </c>
      <c r="E68" s="99" t="s">
        <v>171</v>
      </c>
      <c r="F68" s="6">
        <v>0</v>
      </c>
      <c r="G68" s="6">
        <v>0</v>
      </c>
      <c r="H68" s="6">
        <v>0</v>
      </c>
      <c r="I68" s="204">
        <v>10000</v>
      </c>
      <c r="J68" s="6"/>
      <c r="K68" s="6">
        <v>0</v>
      </c>
      <c r="L68" s="5"/>
      <c r="Q68" s="110" t="s">
        <v>142</v>
      </c>
    </row>
    <row r="69" spans="3:17" ht="18.75" x14ac:dyDescent="0.3">
      <c r="C69" s="226"/>
      <c r="D69" s="197" t="s">
        <v>37</v>
      </c>
      <c r="E69" s="99" t="s">
        <v>184</v>
      </c>
      <c r="F69" s="6">
        <v>0</v>
      </c>
      <c r="G69" s="209">
        <v>18000</v>
      </c>
      <c r="H69" s="6">
        <v>0</v>
      </c>
      <c r="I69" s="6">
        <v>0</v>
      </c>
      <c r="J69" s="6"/>
      <c r="K69" s="6">
        <v>0</v>
      </c>
      <c r="L69" s="5"/>
      <c r="Q69" s="111" t="s">
        <v>45</v>
      </c>
    </row>
    <row r="70" spans="3:17" ht="18.75" x14ac:dyDescent="0.3">
      <c r="C70" s="226"/>
      <c r="D70" s="197" t="s">
        <v>44</v>
      </c>
      <c r="E70" s="99" t="s">
        <v>184</v>
      </c>
      <c r="F70" s="6">
        <v>0</v>
      </c>
      <c r="G70" s="209">
        <v>18000</v>
      </c>
      <c r="H70" s="6">
        <v>0</v>
      </c>
      <c r="I70" s="6">
        <v>0</v>
      </c>
      <c r="J70" s="6"/>
      <c r="K70" s="6">
        <v>0</v>
      </c>
      <c r="L70" s="5"/>
      <c r="Q70" s="111" t="s">
        <v>126</v>
      </c>
    </row>
    <row r="71" spans="3:17" ht="18.75" x14ac:dyDescent="0.3">
      <c r="C71" s="226"/>
      <c r="D71" s="197" t="s">
        <v>148</v>
      </c>
      <c r="E71" s="99" t="s">
        <v>168</v>
      </c>
      <c r="F71" s="204">
        <v>96400</v>
      </c>
      <c r="G71" s="6">
        <v>0</v>
      </c>
      <c r="H71" s="6">
        <v>0</v>
      </c>
      <c r="I71" s="6">
        <v>0</v>
      </c>
      <c r="J71" s="6"/>
      <c r="K71" s="6">
        <v>0</v>
      </c>
      <c r="L71" s="5"/>
      <c r="Q71" s="110" t="s">
        <v>46</v>
      </c>
    </row>
    <row r="72" spans="3:17" ht="18.75" x14ac:dyDescent="0.3">
      <c r="C72" s="226"/>
      <c r="D72" s="197" t="s">
        <v>40</v>
      </c>
      <c r="E72" s="99" t="s">
        <v>168</v>
      </c>
      <c r="F72" s="204">
        <v>19360</v>
      </c>
      <c r="G72" s="6">
        <v>0</v>
      </c>
      <c r="H72" s="6">
        <v>0</v>
      </c>
      <c r="I72" s="6">
        <v>0</v>
      </c>
      <c r="J72" s="6"/>
      <c r="K72" s="6">
        <v>0</v>
      </c>
      <c r="L72" s="5"/>
      <c r="Q72" s="110" t="s">
        <v>127</v>
      </c>
    </row>
    <row r="73" spans="3:17" ht="18.75" x14ac:dyDescent="0.3">
      <c r="C73" s="226"/>
      <c r="D73" s="197" t="s">
        <v>22</v>
      </c>
      <c r="E73" s="99" t="s">
        <v>168</v>
      </c>
      <c r="F73" s="204">
        <v>170700</v>
      </c>
      <c r="G73" s="6">
        <v>0</v>
      </c>
      <c r="H73" s="6">
        <v>0</v>
      </c>
      <c r="I73" s="6">
        <v>0</v>
      </c>
      <c r="J73" s="6"/>
      <c r="K73" s="6">
        <v>0</v>
      </c>
      <c r="Q73" s="110" t="s">
        <v>125</v>
      </c>
    </row>
    <row r="74" spans="3:17" ht="18.75" x14ac:dyDescent="0.3">
      <c r="C74" s="226"/>
      <c r="D74" s="197" t="s">
        <v>19</v>
      </c>
      <c r="E74" s="99" t="s">
        <v>168</v>
      </c>
      <c r="F74" s="204">
        <v>10850</v>
      </c>
      <c r="G74" s="6"/>
      <c r="H74" s="6"/>
      <c r="I74" s="6"/>
      <c r="J74" s="6"/>
      <c r="K74" s="6"/>
      <c r="Q74" s="110"/>
    </row>
    <row r="75" spans="3:17" ht="18.75" x14ac:dyDescent="0.3">
      <c r="C75" s="226"/>
      <c r="D75" s="197" t="s">
        <v>18</v>
      </c>
      <c r="E75" s="99" t="s">
        <v>168</v>
      </c>
      <c r="F75" s="204">
        <v>61550</v>
      </c>
      <c r="G75" s="6"/>
      <c r="H75" s="6"/>
      <c r="I75" s="6"/>
      <c r="J75" s="6"/>
      <c r="K75" s="6"/>
      <c r="L75" s="198">
        <f>SUM(H63)+F65+G66</f>
        <v>77097</v>
      </c>
      <c r="Q75" s="110"/>
    </row>
    <row r="76" spans="3:17" ht="18.75" x14ac:dyDescent="0.3">
      <c r="C76" s="226"/>
      <c r="D76" s="197" t="s">
        <v>45</v>
      </c>
      <c r="E76" s="99" t="s">
        <v>171</v>
      </c>
      <c r="F76" s="6">
        <v>0</v>
      </c>
      <c r="G76" s="6">
        <v>0</v>
      </c>
      <c r="H76" s="6">
        <v>0</v>
      </c>
      <c r="I76" s="210">
        <v>5000</v>
      </c>
      <c r="J76" s="6"/>
      <c r="K76" s="6">
        <v>0</v>
      </c>
      <c r="L76" s="203">
        <f>SUM(F71:F75)+F67+I68</f>
        <v>608760</v>
      </c>
      <c r="Q76" s="110" t="s">
        <v>45</v>
      </c>
    </row>
    <row r="77" spans="3:17" ht="18.75" x14ac:dyDescent="0.3">
      <c r="C77" s="226"/>
      <c r="D77" s="197" t="s">
        <v>154</v>
      </c>
      <c r="E77" s="99" t="s">
        <v>172</v>
      </c>
      <c r="F77" s="6"/>
      <c r="G77" s="210">
        <v>50000</v>
      </c>
      <c r="H77" s="6"/>
      <c r="I77" s="6"/>
      <c r="J77" s="6"/>
      <c r="K77" s="6"/>
      <c r="L77" s="108">
        <f>L75+L76</f>
        <v>685857</v>
      </c>
      <c r="Q77" s="110"/>
    </row>
    <row r="78" spans="3:17" ht="18.75" x14ac:dyDescent="0.3">
      <c r="C78" s="226"/>
      <c r="D78" s="197" t="s">
        <v>44</v>
      </c>
      <c r="E78" s="99" t="s">
        <v>172</v>
      </c>
      <c r="F78" s="6">
        <v>0</v>
      </c>
      <c r="G78" s="210">
        <v>50000</v>
      </c>
      <c r="H78" s="6">
        <v>0</v>
      </c>
      <c r="I78" s="6">
        <v>0</v>
      </c>
      <c r="J78" s="6"/>
      <c r="K78" s="6">
        <v>0</v>
      </c>
      <c r="L78" s="5"/>
      <c r="Q78" s="110" t="s">
        <v>128</v>
      </c>
    </row>
    <row r="79" spans="3:17" ht="18.75" x14ac:dyDescent="0.3">
      <c r="C79" s="101"/>
      <c r="D79" s="117"/>
      <c r="E79" s="102" t="s">
        <v>27</v>
      </c>
      <c r="F79" s="33">
        <f>SUM(F62:F78)</f>
        <v>613760</v>
      </c>
      <c r="G79" s="33">
        <f>SUM(G62:G78)</f>
        <v>186000</v>
      </c>
      <c r="H79" s="33">
        <f>SUM(H62:H78)</f>
        <v>2139097</v>
      </c>
      <c r="I79" s="33">
        <f>SUM(I62:I78)</f>
        <v>420800</v>
      </c>
      <c r="J79" s="33">
        <f>SUM(J62:J78)</f>
        <v>0</v>
      </c>
      <c r="K79" s="33">
        <f>SUM(F79:J79)-J79</f>
        <v>3359657</v>
      </c>
      <c r="L79" s="16"/>
      <c r="Q79" s="110" t="s">
        <v>143</v>
      </c>
    </row>
    <row r="80" spans="3:17" ht="18.75" x14ac:dyDescent="0.3">
      <c r="C80" s="225">
        <v>5</v>
      </c>
      <c r="D80" s="197" t="s">
        <v>154</v>
      </c>
      <c r="E80" s="15" t="s">
        <v>169</v>
      </c>
      <c r="F80" s="6"/>
      <c r="G80" s="211">
        <v>50000</v>
      </c>
      <c r="H80" s="6">
        <v>0</v>
      </c>
      <c r="I80" s="6">
        <v>0</v>
      </c>
      <c r="J80" s="6"/>
      <c r="K80" s="6">
        <v>0</v>
      </c>
      <c r="L80" s="5"/>
      <c r="Q80" s="110" t="s">
        <v>147</v>
      </c>
    </row>
    <row r="81" spans="3:17" ht="18.75" x14ac:dyDescent="0.3">
      <c r="C81" s="226"/>
      <c r="D81" s="197" t="s">
        <v>24</v>
      </c>
      <c r="E81" s="99" t="s">
        <v>168</v>
      </c>
      <c r="F81" s="211">
        <v>144161</v>
      </c>
      <c r="G81" s="6">
        <v>0</v>
      </c>
      <c r="H81" s="6">
        <v>0</v>
      </c>
      <c r="I81" s="6">
        <v>0</v>
      </c>
      <c r="J81" s="6"/>
      <c r="K81" s="6">
        <v>0</v>
      </c>
      <c r="L81" s="5"/>
      <c r="Q81" s="110" t="s">
        <v>129</v>
      </c>
    </row>
    <row r="82" spans="3:17" ht="18.75" x14ac:dyDescent="0.3">
      <c r="C82" s="226"/>
      <c r="D82" s="197" t="s">
        <v>20</v>
      </c>
      <c r="E82" s="99" t="s">
        <v>168</v>
      </c>
      <c r="F82" s="211">
        <v>25852</v>
      </c>
      <c r="G82" s="6">
        <v>0</v>
      </c>
      <c r="H82" s="6">
        <v>0</v>
      </c>
      <c r="I82" s="6">
        <v>0</v>
      </c>
      <c r="J82" s="6"/>
      <c r="K82" s="6">
        <v>0</v>
      </c>
      <c r="L82" s="5"/>
      <c r="Q82" s="110" t="s">
        <v>130</v>
      </c>
    </row>
    <row r="83" spans="3:17" ht="18.75" x14ac:dyDescent="0.3">
      <c r="C83" s="226"/>
      <c r="D83" s="197" t="s">
        <v>40</v>
      </c>
      <c r="E83" s="99" t="s">
        <v>168</v>
      </c>
      <c r="F83" s="210">
        <v>22090</v>
      </c>
      <c r="G83" s="6">
        <v>0</v>
      </c>
      <c r="H83" s="6">
        <v>0</v>
      </c>
      <c r="I83" s="6">
        <v>0</v>
      </c>
      <c r="J83" s="6"/>
      <c r="K83" s="6">
        <v>0</v>
      </c>
      <c r="L83" s="5"/>
      <c r="Q83" s="110" t="s">
        <v>131</v>
      </c>
    </row>
    <row r="84" spans="3:17" ht="18.75" x14ac:dyDescent="0.3">
      <c r="C84" s="226"/>
      <c r="D84" s="197" t="s">
        <v>23</v>
      </c>
      <c r="E84" s="99" t="s">
        <v>168</v>
      </c>
      <c r="F84" s="210">
        <v>90550</v>
      </c>
      <c r="G84" s="6"/>
      <c r="H84" s="6">
        <v>0</v>
      </c>
      <c r="I84" s="6">
        <v>0</v>
      </c>
      <c r="J84" s="6"/>
      <c r="K84" s="6">
        <v>0</v>
      </c>
      <c r="L84" s="5"/>
      <c r="Q84" s="110" t="s">
        <v>132</v>
      </c>
    </row>
    <row r="85" spans="3:17" ht="18.75" x14ac:dyDescent="0.3">
      <c r="C85" s="226"/>
      <c r="D85" s="197" t="s">
        <v>148</v>
      </c>
      <c r="E85" s="99" t="s">
        <v>168</v>
      </c>
      <c r="F85" s="204">
        <v>65800</v>
      </c>
      <c r="G85" s="6">
        <v>0</v>
      </c>
      <c r="H85" s="6">
        <v>0</v>
      </c>
      <c r="I85" s="6">
        <v>0</v>
      </c>
      <c r="J85" s="6"/>
      <c r="K85" s="6">
        <v>0</v>
      </c>
      <c r="L85" s="5"/>
      <c r="Q85" s="110" t="s">
        <v>127</v>
      </c>
    </row>
    <row r="86" spans="3:17" ht="18.75" x14ac:dyDescent="0.3">
      <c r="C86" s="226"/>
      <c r="D86" s="197" t="s">
        <v>37</v>
      </c>
      <c r="E86" s="99" t="s">
        <v>172</v>
      </c>
      <c r="F86" s="6">
        <v>0</v>
      </c>
      <c r="G86" s="210">
        <v>50000</v>
      </c>
      <c r="H86" s="6">
        <v>0</v>
      </c>
      <c r="I86" s="6">
        <v>0</v>
      </c>
      <c r="J86" s="6"/>
      <c r="K86" s="6">
        <v>0</v>
      </c>
      <c r="L86" s="5"/>
      <c r="Q86" s="110" t="s">
        <v>124</v>
      </c>
    </row>
    <row r="87" spans="3:17" ht="18.75" x14ac:dyDescent="0.3">
      <c r="C87" s="226"/>
      <c r="D87" s="197" t="s">
        <v>44</v>
      </c>
      <c r="E87" s="99" t="s">
        <v>172</v>
      </c>
      <c r="F87" s="6">
        <v>0</v>
      </c>
      <c r="G87" s="210">
        <v>50000</v>
      </c>
      <c r="H87" s="6">
        <v>0</v>
      </c>
      <c r="I87" s="6">
        <v>0</v>
      </c>
      <c r="J87" s="6"/>
      <c r="K87" s="6">
        <v>0</v>
      </c>
      <c r="L87" s="5"/>
      <c r="Q87" s="110" t="s">
        <v>144</v>
      </c>
    </row>
    <row r="88" spans="3:17" ht="18.75" x14ac:dyDescent="0.3">
      <c r="C88" s="226"/>
      <c r="D88" s="197" t="s">
        <v>154</v>
      </c>
      <c r="E88" s="99" t="s">
        <v>184</v>
      </c>
      <c r="F88" s="6">
        <v>0</v>
      </c>
      <c r="G88" s="210">
        <v>5000</v>
      </c>
      <c r="H88" s="6">
        <v>0</v>
      </c>
      <c r="I88" s="6">
        <v>0</v>
      </c>
      <c r="J88" s="6"/>
      <c r="K88" s="6">
        <v>0</v>
      </c>
      <c r="L88" s="5"/>
      <c r="Q88" s="110" t="s">
        <v>133</v>
      </c>
    </row>
    <row r="89" spans="3:17" ht="18.75" x14ac:dyDescent="0.3">
      <c r="C89" s="226"/>
      <c r="D89" s="197"/>
      <c r="E89" s="99"/>
      <c r="F89" s="6">
        <v>0</v>
      </c>
      <c r="G89" s="6">
        <v>0</v>
      </c>
      <c r="H89" s="6">
        <v>0</v>
      </c>
      <c r="I89" s="6">
        <v>0</v>
      </c>
      <c r="J89" s="6"/>
      <c r="K89" s="6">
        <v>0</v>
      </c>
      <c r="L89" s="5"/>
      <c r="Q89" s="110" t="s">
        <v>134</v>
      </c>
    </row>
    <row r="90" spans="3:17" ht="18.75" x14ac:dyDescent="0.3">
      <c r="C90" s="226"/>
      <c r="D90" s="197"/>
      <c r="E90" s="99"/>
      <c r="F90" s="6">
        <v>0</v>
      </c>
      <c r="G90" s="6">
        <v>0</v>
      </c>
      <c r="H90" s="6">
        <v>0</v>
      </c>
      <c r="I90" s="6">
        <v>0</v>
      </c>
      <c r="J90" s="6"/>
      <c r="K90" s="6">
        <v>0</v>
      </c>
      <c r="L90" s="5"/>
      <c r="Q90" s="110" t="s">
        <v>135</v>
      </c>
    </row>
    <row r="91" spans="3:17" ht="18.75" x14ac:dyDescent="0.3">
      <c r="C91" s="226"/>
      <c r="D91" s="197"/>
      <c r="E91" s="99"/>
      <c r="F91" s="6">
        <v>0</v>
      </c>
      <c r="G91" s="6">
        <v>0</v>
      </c>
      <c r="H91" s="6">
        <v>0</v>
      </c>
      <c r="I91" s="6">
        <v>0</v>
      </c>
      <c r="J91" s="6"/>
      <c r="K91" s="6">
        <v>0</v>
      </c>
      <c r="L91" s="5"/>
      <c r="Q91" s="110" t="s">
        <v>136</v>
      </c>
    </row>
    <row r="92" spans="3:17" ht="18.75" x14ac:dyDescent="0.3">
      <c r="C92" s="226"/>
      <c r="D92" s="197"/>
      <c r="E92" s="99"/>
      <c r="F92" s="6">
        <v>0</v>
      </c>
      <c r="G92" s="6">
        <v>0</v>
      </c>
      <c r="H92" s="6">
        <v>0</v>
      </c>
      <c r="I92" s="6">
        <v>0</v>
      </c>
      <c r="J92" s="6"/>
      <c r="K92" s="6">
        <v>0</v>
      </c>
      <c r="L92" s="5"/>
      <c r="Q92" s="110" t="s">
        <v>137</v>
      </c>
    </row>
    <row r="93" spans="3:17" ht="18.75" x14ac:dyDescent="0.3">
      <c r="C93" s="226"/>
      <c r="D93" s="197"/>
      <c r="E93" s="99"/>
      <c r="F93" s="6">
        <v>0</v>
      </c>
      <c r="G93" s="6">
        <v>0</v>
      </c>
      <c r="H93" s="6">
        <v>0</v>
      </c>
      <c r="I93" s="6">
        <v>0</v>
      </c>
      <c r="J93" s="6"/>
      <c r="K93" s="6">
        <v>0</v>
      </c>
      <c r="L93" s="5"/>
      <c r="Q93" s="110" t="s">
        <v>138</v>
      </c>
    </row>
    <row r="94" spans="3:17" ht="18.75" x14ac:dyDescent="0.3">
      <c r="C94" s="226"/>
      <c r="D94" s="197"/>
      <c r="E94" s="99"/>
      <c r="F94" s="6">
        <v>0</v>
      </c>
      <c r="G94" s="6">
        <v>0</v>
      </c>
      <c r="H94" s="6">
        <v>0</v>
      </c>
      <c r="I94" s="6">
        <v>0</v>
      </c>
      <c r="J94" s="6"/>
      <c r="K94" s="6">
        <v>0</v>
      </c>
      <c r="L94" s="5"/>
      <c r="Q94" s="110" t="s">
        <v>139</v>
      </c>
    </row>
    <row r="95" spans="3:17" ht="18.75" x14ac:dyDescent="0.3">
      <c r="C95" s="226"/>
      <c r="D95" s="197"/>
      <c r="E95" s="99"/>
      <c r="F95" s="6">
        <v>0</v>
      </c>
      <c r="G95" s="6">
        <v>0</v>
      </c>
      <c r="H95" s="6">
        <v>0</v>
      </c>
      <c r="I95" s="6">
        <v>0</v>
      </c>
      <c r="J95" s="6"/>
      <c r="K95" s="6">
        <v>0</v>
      </c>
      <c r="L95" s="206">
        <f>SUM(G80+F81+F82)</f>
        <v>220013</v>
      </c>
      <c r="Q95" s="110" t="s">
        <v>105</v>
      </c>
    </row>
    <row r="96" spans="3:17" ht="18.75" x14ac:dyDescent="0.3">
      <c r="C96" s="226"/>
      <c r="D96" s="197"/>
      <c r="E96" s="99"/>
      <c r="F96" s="6">
        <v>0</v>
      </c>
      <c r="G96" s="6">
        <v>0</v>
      </c>
      <c r="H96" s="6">
        <v>0</v>
      </c>
      <c r="I96" s="6">
        <v>0</v>
      </c>
      <c r="J96" s="6"/>
      <c r="K96" s="6">
        <v>0</v>
      </c>
      <c r="L96" s="203">
        <f>SUM(F85)</f>
        <v>65800</v>
      </c>
      <c r="Q96" s="110" t="s">
        <v>123</v>
      </c>
    </row>
    <row r="97" spans="3:17" ht="18.75" x14ac:dyDescent="0.3">
      <c r="C97" s="101"/>
      <c r="D97" s="117"/>
      <c r="E97" s="102" t="s">
        <v>27</v>
      </c>
      <c r="F97" s="33">
        <f>SUM(F80:F96)</f>
        <v>348453</v>
      </c>
      <c r="G97" s="33">
        <f>SUM(G81:G96)</f>
        <v>105000</v>
      </c>
      <c r="H97" s="33">
        <f>SUM(H80:H96)</f>
        <v>0</v>
      </c>
      <c r="I97" s="33">
        <f>SUM(I80:I96)</f>
        <v>0</v>
      </c>
      <c r="J97" s="33">
        <f>SUM(J80:J96)</f>
        <v>0</v>
      </c>
      <c r="K97" s="33">
        <f>SUM(F97:J97)-J97</f>
        <v>453453</v>
      </c>
      <c r="L97" s="16">
        <f>L95+L96</f>
        <v>285813</v>
      </c>
      <c r="Q97" s="110" t="s">
        <v>140</v>
      </c>
    </row>
    <row r="98" spans="3:17" ht="18.75" x14ac:dyDescent="0.3">
      <c r="C98" s="225">
        <v>6</v>
      </c>
      <c r="D98" s="197" t="s">
        <v>148</v>
      </c>
      <c r="E98" s="99" t="s">
        <v>168</v>
      </c>
      <c r="F98" s="212">
        <v>72100</v>
      </c>
      <c r="G98" s="6">
        <v>0</v>
      </c>
      <c r="H98" s="6">
        <v>0</v>
      </c>
      <c r="I98" s="6">
        <v>0</v>
      </c>
      <c r="J98" s="6"/>
      <c r="K98" s="6">
        <v>0</v>
      </c>
      <c r="L98" s="5"/>
      <c r="Q98" s="110" t="s">
        <v>148</v>
      </c>
    </row>
    <row r="99" spans="3:17" ht="18.75" x14ac:dyDescent="0.3">
      <c r="C99" s="226"/>
      <c r="D99" s="197" t="s">
        <v>34</v>
      </c>
      <c r="E99" s="99" t="s">
        <v>168</v>
      </c>
      <c r="F99" s="212">
        <v>10000</v>
      </c>
      <c r="G99" s="6">
        <v>0</v>
      </c>
      <c r="H99" s="6">
        <v>0</v>
      </c>
      <c r="I99" s="6">
        <v>0</v>
      </c>
      <c r="J99" s="6"/>
      <c r="K99" s="6">
        <v>0</v>
      </c>
      <c r="L99" s="5"/>
      <c r="Q99" s="110" t="s">
        <v>149</v>
      </c>
    </row>
    <row r="100" spans="3:17" ht="18.75" x14ac:dyDescent="0.3">
      <c r="C100" s="226"/>
      <c r="D100" s="197" t="s">
        <v>145</v>
      </c>
      <c r="E100" s="15" t="s">
        <v>169</v>
      </c>
      <c r="F100" s="6">
        <v>0</v>
      </c>
      <c r="G100" s="212">
        <v>55000</v>
      </c>
      <c r="H100" s="6">
        <v>0</v>
      </c>
      <c r="I100" s="6">
        <v>0</v>
      </c>
      <c r="J100" s="6"/>
      <c r="K100" s="6">
        <v>0</v>
      </c>
      <c r="L100" s="5"/>
      <c r="Q100" s="110" t="s">
        <v>154</v>
      </c>
    </row>
    <row r="101" spans="3:17" ht="18.75" x14ac:dyDescent="0.3">
      <c r="C101" s="226"/>
      <c r="D101" s="197" t="s">
        <v>18</v>
      </c>
      <c r="E101" s="99" t="s">
        <v>168</v>
      </c>
      <c r="F101" s="210">
        <v>13850</v>
      </c>
      <c r="G101" s="6">
        <v>0</v>
      </c>
      <c r="H101" s="6">
        <v>0</v>
      </c>
      <c r="I101" s="6">
        <v>0</v>
      </c>
      <c r="J101" s="6"/>
      <c r="K101" s="6">
        <v>0</v>
      </c>
      <c r="L101" s="5"/>
      <c r="Q101" s="110"/>
    </row>
    <row r="102" spans="3:17" ht="18.75" x14ac:dyDescent="0.3">
      <c r="C102" s="226"/>
      <c r="D102" s="197" t="s">
        <v>19</v>
      </c>
      <c r="E102" s="99" t="s">
        <v>168</v>
      </c>
      <c r="F102" s="210">
        <v>16238</v>
      </c>
      <c r="G102" s="6">
        <v>0</v>
      </c>
      <c r="H102" s="6">
        <v>0</v>
      </c>
      <c r="I102" s="6">
        <v>0</v>
      </c>
      <c r="J102" s="6"/>
      <c r="K102" s="6">
        <v>0</v>
      </c>
      <c r="L102" s="5"/>
      <c r="Q102" s="110"/>
    </row>
    <row r="103" spans="3:17" ht="18.75" x14ac:dyDescent="0.3">
      <c r="C103" s="226"/>
      <c r="D103" s="197" t="s">
        <v>40</v>
      </c>
      <c r="E103" s="99" t="s">
        <v>168</v>
      </c>
      <c r="F103" s="210">
        <v>22090</v>
      </c>
      <c r="G103" s="6">
        <v>0</v>
      </c>
      <c r="H103" s="6">
        <v>0</v>
      </c>
      <c r="I103" s="6">
        <v>0</v>
      </c>
      <c r="J103" s="6"/>
      <c r="K103" s="6">
        <v>0</v>
      </c>
      <c r="L103" s="5"/>
      <c r="Q103" s="110" t="s">
        <v>124</v>
      </c>
    </row>
    <row r="104" spans="3:17" ht="18.75" x14ac:dyDescent="0.3">
      <c r="C104" s="226"/>
      <c r="D104" s="197" t="s">
        <v>44</v>
      </c>
      <c r="E104" s="15" t="s">
        <v>184</v>
      </c>
      <c r="F104" s="6">
        <v>0</v>
      </c>
      <c r="G104" s="209">
        <v>9000</v>
      </c>
      <c r="H104" s="6">
        <v>0</v>
      </c>
      <c r="I104" s="6">
        <v>0</v>
      </c>
      <c r="J104" s="6"/>
      <c r="K104" s="6">
        <v>0</v>
      </c>
      <c r="L104" s="5"/>
      <c r="Q104" s="110" t="s">
        <v>142</v>
      </c>
    </row>
    <row r="105" spans="3:17" ht="18.75" x14ac:dyDescent="0.3">
      <c r="C105" s="226"/>
      <c r="D105" s="197" t="s">
        <v>37</v>
      </c>
      <c r="E105" s="99" t="s">
        <v>184</v>
      </c>
      <c r="F105" s="6">
        <v>0</v>
      </c>
      <c r="G105" s="209">
        <v>5000</v>
      </c>
      <c r="H105" s="6">
        <v>0</v>
      </c>
      <c r="I105" s="6">
        <v>0</v>
      </c>
      <c r="J105" s="6"/>
      <c r="K105" s="6">
        <v>0</v>
      </c>
      <c r="L105" s="5"/>
      <c r="Q105" s="111" t="s">
        <v>45</v>
      </c>
    </row>
    <row r="106" spans="3:17" ht="18.75" x14ac:dyDescent="0.3">
      <c r="C106" s="226"/>
      <c r="D106" s="197" t="s">
        <v>105</v>
      </c>
      <c r="E106" s="99" t="s">
        <v>168</v>
      </c>
      <c r="F106" s="210">
        <v>47400</v>
      </c>
      <c r="G106" s="6">
        <v>0</v>
      </c>
      <c r="H106" s="6">
        <v>0</v>
      </c>
      <c r="I106" s="6">
        <v>0</v>
      </c>
      <c r="J106" s="6"/>
      <c r="K106" s="6">
        <v>0</v>
      </c>
      <c r="L106" s="5"/>
      <c r="Q106" s="111" t="s">
        <v>126</v>
      </c>
    </row>
    <row r="107" spans="3:17" ht="18.75" x14ac:dyDescent="0.3">
      <c r="C107" s="226"/>
      <c r="D107" s="99" t="s">
        <v>187</v>
      </c>
      <c r="E107" s="99" t="s">
        <v>168</v>
      </c>
      <c r="F107" s="210">
        <v>35000</v>
      </c>
      <c r="G107" s="6">
        <v>0</v>
      </c>
      <c r="H107" s="6">
        <v>0</v>
      </c>
      <c r="I107" s="6">
        <v>0</v>
      </c>
      <c r="J107" s="6"/>
      <c r="K107" s="6">
        <v>0</v>
      </c>
      <c r="L107" s="5"/>
      <c r="Q107" s="110" t="s">
        <v>46</v>
      </c>
    </row>
    <row r="108" spans="3:17" ht="18.75" x14ac:dyDescent="0.3">
      <c r="C108" s="226"/>
      <c r="D108" s="197" t="s">
        <v>37</v>
      </c>
      <c r="E108" s="99" t="s">
        <v>172</v>
      </c>
      <c r="F108" s="6">
        <v>0</v>
      </c>
      <c r="G108" s="210">
        <v>50000</v>
      </c>
      <c r="H108" s="6">
        <v>0</v>
      </c>
      <c r="I108" s="6">
        <v>0</v>
      </c>
      <c r="J108" s="6"/>
      <c r="K108" s="6">
        <v>0</v>
      </c>
      <c r="L108" s="5"/>
      <c r="Q108" s="110" t="s">
        <v>127</v>
      </c>
    </row>
    <row r="109" spans="3:17" ht="18.75" x14ac:dyDescent="0.3">
      <c r="C109" s="226"/>
      <c r="D109" s="197" t="s">
        <v>44</v>
      </c>
      <c r="E109" s="99" t="s">
        <v>172</v>
      </c>
      <c r="F109" s="6">
        <v>0</v>
      </c>
      <c r="G109" s="210">
        <v>50000</v>
      </c>
      <c r="H109" s="6">
        <v>0</v>
      </c>
      <c r="I109" s="6">
        <v>0</v>
      </c>
      <c r="J109" s="6"/>
      <c r="K109" s="6">
        <v>0</v>
      </c>
      <c r="L109" s="5"/>
      <c r="Q109" s="110" t="s">
        <v>125</v>
      </c>
    </row>
    <row r="110" spans="3:17" ht="18.75" x14ac:dyDescent="0.3">
      <c r="C110" s="226"/>
      <c r="D110" s="197"/>
      <c r="E110" s="99"/>
      <c r="F110" s="6">
        <v>0</v>
      </c>
      <c r="G110" s="6">
        <v>0</v>
      </c>
      <c r="H110" s="6">
        <v>0</v>
      </c>
      <c r="I110" s="6">
        <v>0</v>
      </c>
      <c r="J110" s="6"/>
      <c r="K110" s="6">
        <v>0</v>
      </c>
      <c r="L110" s="5"/>
      <c r="Q110" s="110" t="s">
        <v>45</v>
      </c>
    </row>
    <row r="111" spans="3:17" ht="18.75" x14ac:dyDescent="0.3">
      <c r="C111" s="226"/>
      <c r="D111" s="197"/>
      <c r="E111" s="99"/>
      <c r="F111" s="6">
        <v>0</v>
      </c>
      <c r="G111" s="6">
        <v>0</v>
      </c>
      <c r="H111" s="6">
        <v>0</v>
      </c>
      <c r="I111" s="6">
        <v>0</v>
      </c>
      <c r="J111" s="6"/>
      <c r="K111" s="6">
        <v>0</v>
      </c>
      <c r="L111" s="5"/>
      <c r="Q111" s="110" t="s">
        <v>128</v>
      </c>
    </row>
    <row r="112" spans="3:17" ht="18.75" x14ac:dyDescent="0.3">
      <c r="C112" s="226"/>
      <c r="D112" s="197"/>
      <c r="E112" s="99"/>
      <c r="F112" s="6">
        <v>0</v>
      </c>
      <c r="G112" s="6">
        <v>0</v>
      </c>
      <c r="H112" s="6">
        <v>0</v>
      </c>
      <c r="I112" s="6">
        <v>0</v>
      </c>
      <c r="J112" s="6"/>
      <c r="K112" s="6">
        <v>0</v>
      </c>
      <c r="L112" s="5"/>
      <c r="Q112" s="110" t="s">
        <v>143</v>
      </c>
    </row>
    <row r="113" spans="3:17" ht="18.75" x14ac:dyDescent="0.3">
      <c r="C113" s="226"/>
      <c r="D113" s="197"/>
      <c r="E113" s="99"/>
      <c r="F113" s="6">
        <v>0</v>
      </c>
      <c r="G113" s="6">
        <v>0</v>
      </c>
      <c r="H113" s="6">
        <v>0</v>
      </c>
      <c r="I113" s="6">
        <v>0</v>
      </c>
      <c r="J113" s="6"/>
      <c r="K113" s="6">
        <v>0</v>
      </c>
      <c r="L113" s="213">
        <f>SUM(F98+F99+G100)</f>
        <v>137100</v>
      </c>
      <c r="Q113" s="110" t="s">
        <v>147</v>
      </c>
    </row>
    <row r="114" spans="3:17" ht="18.75" x14ac:dyDescent="0.3">
      <c r="C114" s="226"/>
      <c r="D114" s="197"/>
      <c r="E114" s="99"/>
      <c r="F114" s="6">
        <v>0</v>
      </c>
      <c r="G114" s="6">
        <v>0</v>
      </c>
      <c r="H114" s="6">
        <v>0</v>
      </c>
      <c r="I114" s="6">
        <v>0</v>
      </c>
      <c r="J114" s="6"/>
      <c r="K114" s="6">
        <v>0</v>
      </c>
      <c r="L114" s="203">
        <f>SUM(F101:F103)+F107+G108+G109</f>
        <v>187178</v>
      </c>
      <c r="Q114" s="110" t="s">
        <v>129</v>
      </c>
    </row>
    <row r="115" spans="3:17" ht="18.75" x14ac:dyDescent="0.3">
      <c r="C115" s="101"/>
      <c r="D115" s="117"/>
      <c r="E115" s="102" t="s">
        <v>27</v>
      </c>
      <c r="F115" s="33">
        <f>SUM(F98:F114)</f>
        <v>216678</v>
      </c>
      <c r="G115" s="33">
        <f>SUM(G99:G114)</f>
        <v>169000</v>
      </c>
      <c r="H115" s="33">
        <f>SUM(H98:H114)</f>
        <v>0</v>
      </c>
      <c r="I115" s="33">
        <f>SUM(I98:I114)</f>
        <v>0</v>
      </c>
      <c r="J115" s="33">
        <f>SUM(J98:J114)</f>
        <v>0</v>
      </c>
      <c r="K115" s="33">
        <f>SUM(F115:J115)-J115</f>
        <v>385678</v>
      </c>
      <c r="L115" s="16">
        <f>L113+L114</f>
        <v>324278</v>
      </c>
      <c r="Q115" s="110" t="s">
        <v>130</v>
      </c>
    </row>
    <row r="116" spans="3:17" ht="18.75" x14ac:dyDescent="0.3">
      <c r="C116" s="225">
        <v>7</v>
      </c>
      <c r="D116" s="197" t="s">
        <v>148</v>
      </c>
      <c r="E116" s="15" t="s">
        <v>168</v>
      </c>
      <c r="F116" s="199">
        <v>39400</v>
      </c>
      <c r="G116" s="6">
        <v>0</v>
      </c>
      <c r="H116" s="6">
        <v>0</v>
      </c>
      <c r="I116" s="6">
        <v>0</v>
      </c>
      <c r="J116" s="6"/>
      <c r="K116" s="6">
        <v>0</v>
      </c>
      <c r="L116" s="5"/>
      <c r="Q116" s="110" t="s">
        <v>131</v>
      </c>
    </row>
    <row r="117" spans="3:17" ht="18.75" x14ac:dyDescent="0.3">
      <c r="C117" s="226"/>
      <c r="D117" s="197" t="s">
        <v>119</v>
      </c>
      <c r="E117" s="99" t="s">
        <v>168</v>
      </c>
      <c r="F117" s="199">
        <v>26771</v>
      </c>
      <c r="G117" s="6">
        <v>0</v>
      </c>
      <c r="H117" s="6">
        <v>0</v>
      </c>
      <c r="I117" s="6">
        <v>0</v>
      </c>
      <c r="J117" s="6"/>
      <c r="K117" s="6">
        <v>0</v>
      </c>
      <c r="L117" s="5"/>
      <c r="Q117" s="110" t="s">
        <v>132</v>
      </c>
    </row>
    <row r="118" spans="3:17" ht="18.75" x14ac:dyDescent="0.3">
      <c r="C118" s="226"/>
      <c r="D118" s="197" t="s">
        <v>44</v>
      </c>
      <c r="E118" s="99" t="s">
        <v>169</v>
      </c>
      <c r="F118" s="6">
        <v>0</v>
      </c>
      <c r="G118" s="199">
        <v>55000</v>
      </c>
      <c r="H118" s="6">
        <v>0</v>
      </c>
      <c r="I118" s="6">
        <v>0</v>
      </c>
      <c r="J118" s="6"/>
      <c r="K118" s="6">
        <v>0</v>
      </c>
      <c r="L118" s="5"/>
      <c r="P118" s="137"/>
      <c r="Q118" s="110" t="s">
        <v>127</v>
      </c>
    </row>
    <row r="119" spans="3:17" ht="18.75" x14ac:dyDescent="0.3">
      <c r="C119" s="226"/>
      <c r="D119" s="197" t="s">
        <v>40</v>
      </c>
      <c r="E119" s="99" t="s">
        <v>168</v>
      </c>
      <c r="F119" s="200">
        <v>31780</v>
      </c>
      <c r="G119" s="6">
        <v>0</v>
      </c>
      <c r="H119" s="6">
        <v>0</v>
      </c>
      <c r="I119" s="6">
        <v>0</v>
      </c>
      <c r="J119" s="6"/>
      <c r="K119" s="6">
        <v>0</v>
      </c>
      <c r="L119" s="5"/>
      <c r="Q119" s="110" t="s">
        <v>124</v>
      </c>
    </row>
    <row r="120" spans="3:17" ht="18.75" x14ac:dyDescent="0.3">
      <c r="C120" s="226"/>
      <c r="D120" s="197" t="s">
        <v>19</v>
      </c>
      <c r="E120" s="99" t="s">
        <v>168</v>
      </c>
      <c r="F120" s="200">
        <v>11200</v>
      </c>
      <c r="G120" s="6">
        <v>0</v>
      </c>
      <c r="H120" s="6">
        <v>0</v>
      </c>
      <c r="I120" s="6">
        <v>0</v>
      </c>
      <c r="J120" s="6"/>
      <c r="K120" s="6">
        <v>0</v>
      </c>
      <c r="L120" s="5"/>
      <c r="Q120" s="110" t="s">
        <v>144</v>
      </c>
    </row>
    <row r="121" spans="3:17" ht="18.75" x14ac:dyDescent="0.3">
      <c r="C121" s="226"/>
      <c r="D121" s="197" t="s">
        <v>37</v>
      </c>
      <c r="E121" s="99" t="s">
        <v>172</v>
      </c>
      <c r="F121" s="6">
        <v>0</v>
      </c>
      <c r="G121" s="200">
        <v>50000</v>
      </c>
      <c r="H121" s="6">
        <v>0</v>
      </c>
      <c r="I121" s="6">
        <v>0</v>
      </c>
      <c r="J121" s="6"/>
      <c r="K121" s="6">
        <v>0</v>
      </c>
      <c r="L121" s="5"/>
      <c r="Q121" s="110" t="s">
        <v>133</v>
      </c>
    </row>
    <row r="122" spans="3:17" ht="18.75" x14ac:dyDescent="0.3">
      <c r="C122" s="226"/>
      <c r="D122" s="197" t="s">
        <v>145</v>
      </c>
      <c r="E122" s="99" t="s">
        <v>172</v>
      </c>
      <c r="F122" s="6">
        <v>0</v>
      </c>
      <c r="G122" s="200">
        <v>50000</v>
      </c>
      <c r="H122" s="6">
        <v>0</v>
      </c>
      <c r="I122" s="6">
        <v>0</v>
      </c>
      <c r="J122" s="6"/>
      <c r="K122" s="6">
        <v>0</v>
      </c>
      <c r="L122" s="5"/>
      <c r="Q122" s="110" t="s">
        <v>134</v>
      </c>
    </row>
    <row r="123" spans="3:17" ht="18.75" x14ac:dyDescent="0.3">
      <c r="C123" s="226"/>
      <c r="D123" s="197"/>
      <c r="E123" s="99"/>
      <c r="F123" s="6">
        <v>0</v>
      </c>
      <c r="G123" s="6">
        <v>0</v>
      </c>
      <c r="H123" s="6">
        <v>0</v>
      </c>
      <c r="I123" s="6">
        <v>0</v>
      </c>
      <c r="J123" s="6"/>
      <c r="K123" s="6">
        <v>0</v>
      </c>
      <c r="L123" s="5"/>
      <c r="Q123" s="110" t="s">
        <v>135</v>
      </c>
    </row>
    <row r="124" spans="3:17" ht="18.75" x14ac:dyDescent="0.3">
      <c r="C124" s="226"/>
      <c r="D124" s="197"/>
      <c r="E124" s="99"/>
      <c r="F124" s="6">
        <v>0</v>
      </c>
      <c r="G124" s="6">
        <v>0</v>
      </c>
      <c r="H124" s="6">
        <v>0</v>
      </c>
      <c r="I124" s="6">
        <v>0</v>
      </c>
      <c r="J124" s="6"/>
      <c r="K124" s="6">
        <v>0</v>
      </c>
      <c r="L124" s="5"/>
      <c r="Q124" s="110" t="s">
        <v>136</v>
      </c>
    </row>
    <row r="125" spans="3:17" ht="18.75" x14ac:dyDescent="0.3">
      <c r="C125" s="226"/>
      <c r="D125" s="197"/>
      <c r="E125" s="99"/>
      <c r="F125" s="6">
        <v>0</v>
      </c>
      <c r="G125" s="6">
        <v>0</v>
      </c>
      <c r="H125" s="6">
        <v>0</v>
      </c>
      <c r="I125" s="6">
        <v>0</v>
      </c>
      <c r="J125" s="6"/>
      <c r="K125" s="6">
        <v>0</v>
      </c>
      <c r="L125" s="5"/>
      <c r="Q125" s="110" t="s">
        <v>137</v>
      </c>
    </row>
    <row r="126" spans="3:17" ht="18.75" x14ac:dyDescent="0.3">
      <c r="C126" s="226"/>
      <c r="D126" s="197"/>
      <c r="E126" s="99"/>
      <c r="F126" s="6">
        <v>0</v>
      </c>
      <c r="G126" s="6">
        <v>0</v>
      </c>
      <c r="H126" s="6">
        <v>0</v>
      </c>
      <c r="I126" s="6">
        <v>0</v>
      </c>
      <c r="J126" s="6"/>
      <c r="K126" s="6">
        <v>0</v>
      </c>
      <c r="L126" s="5"/>
      <c r="Q126" s="110" t="s">
        <v>138</v>
      </c>
    </row>
    <row r="127" spans="3:17" ht="18.75" x14ac:dyDescent="0.3">
      <c r="C127" s="226"/>
      <c r="D127" s="197"/>
      <c r="E127" s="99"/>
      <c r="F127" s="6">
        <v>0</v>
      </c>
      <c r="G127" s="6">
        <v>0</v>
      </c>
      <c r="H127" s="6">
        <v>0</v>
      </c>
      <c r="I127" s="6">
        <v>0</v>
      </c>
      <c r="J127" s="6"/>
      <c r="K127" s="6">
        <v>0</v>
      </c>
      <c r="L127" s="5"/>
      <c r="Q127" s="110" t="s">
        <v>139</v>
      </c>
    </row>
    <row r="128" spans="3:17" ht="18.75" x14ac:dyDescent="0.3">
      <c r="C128" s="226"/>
      <c r="D128" s="197"/>
      <c r="E128" s="99"/>
      <c r="F128" s="6">
        <v>0</v>
      </c>
      <c r="G128" s="6">
        <v>0</v>
      </c>
      <c r="H128" s="6">
        <v>0</v>
      </c>
      <c r="I128" s="6">
        <v>0</v>
      </c>
      <c r="J128" s="6"/>
      <c r="K128" s="6">
        <v>0</v>
      </c>
      <c r="L128" s="5"/>
      <c r="Q128" s="110" t="s">
        <v>105</v>
      </c>
    </row>
    <row r="129" spans="3:17" ht="18.75" x14ac:dyDescent="0.3">
      <c r="C129" s="226"/>
      <c r="D129" s="197"/>
      <c r="E129" s="99"/>
      <c r="F129" s="6">
        <v>0</v>
      </c>
      <c r="G129" s="6">
        <v>0</v>
      </c>
      <c r="H129" s="6">
        <v>0</v>
      </c>
      <c r="I129" s="6">
        <v>0</v>
      </c>
      <c r="J129" s="6"/>
      <c r="K129" s="6">
        <v>0</v>
      </c>
      <c r="L129" s="5"/>
      <c r="Q129" s="110" t="s">
        <v>123</v>
      </c>
    </row>
    <row r="130" spans="3:17" ht="18.75" x14ac:dyDescent="0.3">
      <c r="C130" s="226"/>
      <c r="D130" s="197"/>
      <c r="E130" s="99"/>
      <c r="F130" s="6">
        <v>0</v>
      </c>
      <c r="G130" s="6">
        <v>0</v>
      </c>
      <c r="H130" s="6">
        <v>0</v>
      </c>
      <c r="I130" s="6">
        <v>0</v>
      </c>
      <c r="J130" s="6"/>
      <c r="K130" s="6">
        <v>0</v>
      </c>
      <c r="L130" s="198">
        <f>SUM(F116:F117)+G118</f>
        <v>121171</v>
      </c>
      <c r="Q130" s="110" t="s">
        <v>140</v>
      </c>
    </row>
    <row r="131" spans="3:17" ht="18.75" x14ac:dyDescent="0.3">
      <c r="C131" s="226"/>
      <c r="D131" s="197"/>
      <c r="E131" s="99"/>
      <c r="F131" s="6">
        <v>0</v>
      </c>
      <c r="G131" s="6">
        <v>0</v>
      </c>
      <c r="H131" s="6">
        <v>0</v>
      </c>
      <c r="I131" s="6">
        <v>0</v>
      </c>
      <c r="J131" s="6"/>
      <c r="K131" s="6">
        <v>0</v>
      </c>
      <c r="L131" s="201">
        <f>SUM(F119+F120+G121+G122)</f>
        <v>142980</v>
      </c>
      <c r="Q131" s="110" t="s">
        <v>148</v>
      </c>
    </row>
    <row r="132" spans="3:17" ht="18.75" x14ac:dyDescent="0.3">
      <c r="C132" s="101"/>
      <c r="D132" s="117"/>
      <c r="E132" s="102" t="s">
        <v>27</v>
      </c>
      <c r="F132" s="33">
        <f>SUM(F116:F131)</f>
        <v>109151</v>
      </c>
      <c r="G132" s="33">
        <f>SUM(G116:G131)</f>
        <v>155000</v>
      </c>
      <c r="H132" s="33">
        <f>SUM(H116:H131)</f>
        <v>0</v>
      </c>
      <c r="I132" s="33">
        <f>SUM(I116:I131)</f>
        <v>0</v>
      </c>
      <c r="J132" s="33">
        <f>SUM(J116:J131)</f>
        <v>0</v>
      </c>
      <c r="K132" s="33">
        <f>SUM(F132:J132)-J132</f>
        <v>264151</v>
      </c>
      <c r="L132" s="16"/>
      <c r="Q132" s="110" t="s">
        <v>149</v>
      </c>
    </row>
    <row r="133" spans="3:17" ht="18.75" x14ac:dyDescent="0.3">
      <c r="C133" s="225">
        <v>8</v>
      </c>
      <c r="D133" s="197" t="s">
        <v>34</v>
      </c>
      <c r="E133" s="15" t="s">
        <v>168</v>
      </c>
      <c r="F133" s="199">
        <v>10000</v>
      </c>
      <c r="G133" s="6">
        <v>0</v>
      </c>
      <c r="H133" s="6">
        <v>0</v>
      </c>
      <c r="I133" s="6">
        <v>0</v>
      </c>
      <c r="J133" s="6"/>
      <c r="K133" s="6">
        <v>0</v>
      </c>
      <c r="L133" s="5"/>
      <c r="Q133" s="110"/>
    </row>
    <row r="134" spans="3:17" ht="18.75" x14ac:dyDescent="0.3">
      <c r="C134" s="226"/>
      <c r="D134" s="197" t="s">
        <v>22</v>
      </c>
      <c r="E134" s="99" t="s">
        <v>168</v>
      </c>
      <c r="F134" s="199">
        <v>159000</v>
      </c>
      <c r="G134" s="6">
        <v>0</v>
      </c>
      <c r="H134" s="6">
        <v>0</v>
      </c>
      <c r="I134" s="6">
        <v>0</v>
      </c>
      <c r="J134" s="6"/>
      <c r="K134" s="6">
        <v>0</v>
      </c>
      <c r="L134" s="5"/>
      <c r="Q134" s="110"/>
    </row>
    <row r="135" spans="3:17" ht="18.75" x14ac:dyDescent="0.3">
      <c r="C135" s="226"/>
      <c r="D135" s="197" t="s">
        <v>20</v>
      </c>
      <c r="E135" s="99" t="s">
        <v>168</v>
      </c>
      <c r="F135" s="199">
        <v>29696</v>
      </c>
      <c r="G135" s="6">
        <v>0</v>
      </c>
      <c r="H135" s="6">
        <v>0</v>
      </c>
      <c r="I135" s="6">
        <v>0</v>
      </c>
      <c r="J135" s="6"/>
      <c r="K135" s="6">
        <v>0</v>
      </c>
      <c r="L135" s="5"/>
      <c r="Q135" s="110"/>
    </row>
    <row r="136" spans="3:17" x14ac:dyDescent="0.25">
      <c r="C136" s="226"/>
      <c r="D136" s="197" t="s">
        <v>119</v>
      </c>
      <c r="E136" s="99" t="s">
        <v>168</v>
      </c>
      <c r="F136" s="199">
        <v>66324</v>
      </c>
      <c r="G136" s="6">
        <v>0</v>
      </c>
      <c r="H136" s="6">
        <v>0</v>
      </c>
      <c r="I136" s="6">
        <v>0</v>
      </c>
      <c r="J136" s="6"/>
      <c r="K136" s="6">
        <v>0</v>
      </c>
      <c r="L136" s="5"/>
    </row>
    <row r="137" spans="3:17" x14ac:dyDescent="0.25">
      <c r="C137" s="226"/>
      <c r="D137" s="197" t="s">
        <v>127</v>
      </c>
      <c r="E137" s="99" t="s">
        <v>168</v>
      </c>
      <c r="F137" s="199">
        <v>44800</v>
      </c>
      <c r="G137" s="6">
        <v>0</v>
      </c>
      <c r="H137" s="6">
        <v>0</v>
      </c>
      <c r="I137" s="6">
        <v>0</v>
      </c>
      <c r="J137" s="6"/>
      <c r="K137" s="6">
        <v>0</v>
      </c>
      <c r="L137" s="5"/>
    </row>
    <row r="138" spans="3:17" x14ac:dyDescent="0.25">
      <c r="C138" s="226"/>
      <c r="D138" s="197" t="s">
        <v>37</v>
      </c>
      <c r="E138" s="99" t="s">
        <v>169</v>
      </c>
      <c r="F138" s="6">
        <v>0</v>
      </c>
      <c r="G138" s="199">
        <v>65000</v>
      </c>
      <c r="H138" s="6">
        <v>0</v>
      </c>
      <c r="I138" s="6">
        <v>0</v>
      </c>
      <c r="J138" s="6"/>
      <c r="K138" s="6">
        <v>0</v>
      </c>
      <c r="L138" s="5"/>
    </row>
    <row r="139" spans="3:17" x14ac:dyDescent="0.25">
      <c r="C139" s="226"/>
      <c r="D139" s="197" t="s">
        <v>46</v>
      </c>
      <c r="E139" s="99" t="s">
        <v>168</v>
      </c>
      <c r="F139" s="6"/>
      <c r="G139" s="6">
        <v>0</v>
      </c>
      <c r="H139" s="6">
        <v>0</v>
      </c>
      <c r="I139" s="199">
        <v>5000</v>
      </c>
      <c r="J139" s="6"/>
      <c r="K139" s="6">
        <v>0</v>
      </c>
      <c r="L139" s="5"/>
    </row>
    <row r="140" spans="3:17" x14ac:dyDescent="0.25">
      <c r="C140" s="226"/>
      <c r="D140" s="197" t="s">
        <v>18</v>
      </c>
      <c r="E140" s="99" t="s">
        <v>168</v>
      </c>
      <c r="F140" s="200">
        <v>10850</v>
      </c>
      <c r="G140" s="6">
        <v>0</v>
      </c>
      <c r="H140" s="6">
        <v>0</v>
      </c>
      <c r="I140" s="6">
        <v>0</v>
      </c>
      <c r="J140" s="6"/>
      <c r="K140" s="6">
        <v>0</v>
      </c>
      <c r="L140" s="5"/>
    </row>
    <row r="141" spans="3:17" x14ac:dyDescent="0.25">
      <c r="C141" s="226"/>
      <c r="D141" s="197" t="s">
        <v>19</v>
      </c>
      <c r="E141" s="99" t="s">
        <v>168</v>
      </c>
      <c r="F141" s="200">
        <v>58090</v>
      </c>
      <c r="G141" s="6">
        <v>0</v>
      </c>
      <c r="H141" s="6">
        <v>0</v>
      </c>
      <c r="I141" s="6">
        <v>0</v>
      </c>
      <c r="J141" s="6"/>
      <c r="K141" s="6">
        <v>0</v>
      </c>
      <c r="L141" s="5"/>
    </row>
    <row r="142" spans="3:17" x14ac:dyDescent="0.25">
      <c r="C142" s="226"/>
      <c r="D142" s="197" t="s">
        <v>15</v>
      </c>
      <c r="E142" s="99" t="s">
        <v>168</v>
      </c>
      <c r="F142" s="200">
        <v>34000</v>
      </c>
      <c r="G142" s="6">
        <v>0</v>
      </c>
      <c r="H142" s="6">
        <v>0</v>
      </c>
      <c r="I142" s="6"/>
      <c r="J142" s="6"/>
      <c r="K142" s="6">
        <v>0</v>
      </c>
      <c r="L142" s="5"/>
    </row>
    <row r="143" spans="3:17" x14ac:dyDescent="0.25">
      <c r="C143" s="226"/>
      <c r="D143" s="99" t="s">
        <v>171</v>
      </c>
      <c r="E143" s="99" t="s">
        <v>171</v>
      </c>
      <c r="F143" s="6"/>
      <c r="G143" s="6">
        <v>0</v>
      </c>
      <c r="H143" s="6">
        <v>0</v>
      </c>
      <c r="I143" s="200">
        <v>5000</v>
      </c>
      <c r="J143" s="6"/>
      <c r="K143" s="6">
        <v>0</v>
      </c>
      <c r="L143" s="5"/>
    </row>
    <row r="144" spans="3:17" x14ac:dyDescent="0.25">
      <c r="C144" s="226"/>
      <c r="D144" s="197" t="s">
        <v>148</v>
      </c>
      <c r="E144" s="99" t="s">
        <v>172</v>
      </c>
      <c r="F144" s="214">
        <v>75800</v>
      </c>
      <c r="G144" s="6"/>
      <c r="H144" s="6">
        <v>0</v>
      </c>
      <c r="I144" s="6">
        <v>0</v>
      </c>
      <c r="J144" s="6"/>
      <c r="K144" s="6">
        <v>0</v>
      </c>
      <c r="L144" s="5"/>
    </row>
    <row r="145" spans="3:12" x14ac:dyDescent="0.25">
      <c r="C145" s="226"/>
      <c r="D145" s="197" t="s">
        <v>154</v>
      </c>
      <c r="E145" s="99" t="s">
        <v>172</v>
      </c>
      <c r="F145" s="6">
        <v>0</v>
      </c>
      <c r="G145" s="214">
        <v>55000</v>
      </c>
      <c r="H145" s="6">
        <v>0</v>
      </c>
      <c r="I145" s="6">
        <v>0</v>
      </c>
      <c r="J145" s="6"/>
      <c r="K145" s="6">
        <v>0</v>
      </c>
      <c r="L145" s="5"/>
    </row>
    <row r="146" spans="3:12" x14ac:dyDescent="0.25">
      <c r="C146" s="226"/>
      <c r="D146" s="197" t="s">
        <v>145</v>
      </c>
      <c r="E146" s="99"/>
      <c r="F146" s="6">
        <v>0</v>
      </c>
      <c r="G146" s="214">
        <v>55000</v>
      </c>
      <c r="H146" s="6">
        <v>0</v>
      </c>
      <c r="I146" s="6">
        <v>0</v>
      </c>
      <c r="J146" s="6"/>
      <c r="K146" s="6">
        <v>0</v>
      </c>
      <c r="L146" s="5"/>
    </row>
    <row r="147" spans="3:12" x14ac:dyDescent="0.25">
      <c r="C147" s="226"/>
      <c r="D147" s="197"/>
      <c r="E147" s="99"/>
      <c r="F147" s="6">
        <v>0</v>
      </c>
      <c r="G147" s="6">
        <v>0</v>
      </c>
      <c r="H147" s="6">
        <v>0</v>
      </c>
      <c r="I147" s="6">
        <v>0</v>
      </c>
      <c r="J147" s="6"/>
      <c r="K147" s="6">
        <v>0</v>
      </c>
      <c r="L147" s="198">
        <f>SUM(F133:I139)</f>
        <v>379820</v>
      </c>
    </row>
    <row r="148" spans="3:12" x14ac:dyDescent="0.25">
      <c r="C148" s="226"/>
      <c r="D148" s="197"/>
      <c r="E148" s="99"/>
      <c r="F148" s="6">
        <v>0</v>
      </c>
      <c r="G148" s="6">
        <v>0</v>
      </c>
      <c r="H148" s="6">
        <v>0</v>
      </c>
      <c r="I148" s="6">
        <v>0</v>
      </c>
      <c r="J148" s="6"/>
      <c r="K148" s="6">
        <v>0</v>
      </c>
      <c r="L148" s="201">
        <f>SUM(F140+F141+F142+I143)</f>
        <v>107940</v>
      </c>
    </row>
    <row r="149" spans="3:12" x14ac:dyDescent="0.25">
      <c r="C149" s="226"/>
      <c r="D149" s="197"/>
      <c r="E149" s="99"/>
      <c r="F149" s="6">
        <v>0</v>
      </c>
      <c r="G149" s="6">
        <v>0</v>
      </c>
      <c r="H149" s="6">
        <v>0</v>
      </c>
      <c r="I149" s="6">
        <v>0</v>
      </c>
      <c r="J149" s="6"/>
      <c r="K149" s="6">
        <v>0</v>
      </c>
      <c r="L149" s="5"/>
    </row>
    <row r="150" spans="3:12" x14ac:dyDescent="0.25">
      <c r="C150" s="101"/>
      <c r="D150" s="117"/>
      <c r="E150" s="102" t="s">
        <v>27</v>
      </c>
      <c r="F150" s="33">
        <f>SUM(F133:F149)</f>
        <v>488560</v>
      </c>
      <c r="G150" s="33">
        <f>SUM(G134:G149)</f>
        <v>175000</v>
      </c>
      <c r="H150" s="33">
        <f>SUM(H133:H149)</f>
        <v>0</v>
      </c>
      <c r="I150" s="33">
        <f>SUM(I133:I149)</f>
        <v>10000</v>
      </c>
      <c r="J150" s="33">
        <f>SUM(J133:J149)</f>
        <v>0</v>
      </c>
      <c r="K150" s="33">
        <f>SUM(F150:J150)-J150</f>
        <v>673560</v>
      </c>
      <c r="L150" s="16"/>
    </row>
    <row r="151" spans="3:12" x14ac:dyDescent="0.25">
      <c r="C151" s="225">
        <v>9</v>
      </c>
      <c r="D151" s="197" t="s">
        <v>34</v>
      </c>
      <c r="E151" s="15" t="s">
        <v>168</v>
      </c>
      <c r="F151" s="199">
        <v>10000</v>
      </c>
      <c r="G151" s="6">
        <v>0</v>
      </c>
      <c r="H151" s="6">
        <v>0</v>
      </c>
      <c r="I151" s="6">
        <v>0</v>
      </c>
      <c r="J151" s="6"/>
      <c r="K151" s="6">
        <v>0</v>
      </c>
      <c r="L151" s="5"/>
    </row>
    <row r="152" spans="3:12" x14ac:dyDescent="0.25">
      <c r="C152" s="226"/>
      <c r="D152" s="197" t="s">
        <v>40</v>
      </c>
      <c r="E152" s="99" t="s">
        <v>168</v>
      </c>
      <c r="F152" s="199">
        <v>32680</v>
      </c>
      <c r="G152" s="6">
        <v>0</v>
      </c>
      <c r="H152" s="6">
        <v>0</v>
      </c>
      <c r="I152" s="6">
        <v>0</v>
      </c>
      <c r="J152" s="6"/>
      <c r="K152" s="6">
        <v>0</v>
      </c>
      <c r="L152" s="5"/>
    </row>
    <row r="153" spans="3:12" x14ac:dyDescent="0.25">
      <c r="C153" s="226"/>
      <c r="D153" s="197" t="s">
        <v>37</v>
      </c>
      <c r="E153" s="99" t="s">
        <v>169</v>
      </c>
      <c r="F153" s="6">
        <v>0</v>
      </c>
      <c r="G153" s="199">
        <v>65000</v>
      </c>
      <c r="H153" s="6">
        <v>0</v>
      </c>
      <c r="I153" s="6">
        <v>0</v>
      </c>
      <c r="J153" s="6"/>
      <c r="K153" s="6">
        <v>0</v>
      </c>
      <c r="L153" s="5"/>
    </row>
    <row r="154" spans="3:12" x14ac:dyDescent="0.25">
      <c r="C154" s="226"/>
      <c r="D154" s="197" t="s">
        <v>19</v>
      </c>
      <c r="E154" s="99" t="s">
        <v>168</v>
      </c>
      <c r="F154" s="200">
        <v>39200</v>
      </c>
      <c r="G154" s="6">
        <v>0</v>
      </c>
      <c r="H154" s="6">
        <v>0</v>
      </c>
      <c r="I154" s="6">
        <v>0</v>
      </c>
      <c r="J154" s="6"/>
      <c r="K154" s="6">
        <v>0</v>
      </c>
      <c r="L154" s="5"/>
    </row>
    <row r="155" spans="3:12" x14ac:dyDescent="0.25">
      <c r="C155" s="226"/>
      <c r="D155" s="197" t="s">
        <v>148</v>
      </c>
      <c r="E155" s="99" t="s">
        <v>168</v>
      </c>
      <c r="F155" s="200">
        <v>155300</v>
      </c>
      <c r="G155" s="6">
        <v>0</v>
      </c>
      <c r="H155" s="6">
        <v>0</v>
      </c>
      <c r="I155" s="6">
        <v>0</v>
      </c>
      <c r="J155" s="6"/>
      <c r="K155" s="6">
        <v>0</v>
      </c>
      <c r="L155" s="5"/>
    </row>
    <row r="156" spans="3:12" x14ac:dyDescent="0.25">
      <c r="C156" s="226"/>
      <c r="D156" s="197" t="s">
        <v>44</v>
      </c>
      <c r="E156" s="99" t="s">
        <v>172</v>
      </c>
      <c r="F156" s="6">
        <v>0</v>
      </c>
      <c r="G156" s="200">
        <v>65000</v>
      </c>
      <c r="H156" s="6">
        <v>0</v>
      </c>
      <c r="I156" s="6">
        <v>0</v>
      </c>
      <c r="J156" s="6"/>
      <c r="K156" s="6">
        <v>0</v>
      </c>
      <c r="L156" s="5"/>
    </row>
    <row r="157" spans="3:12" x14ac:dyDescent="0.25">
      <c r="C157" s="226"/>
      <c r="D157" s="197" t="s">
        <v>145</v>
      </c>
      <c r="E157" s="99" t="s">
        <v>172</v>
      </c>
      <c r="F157" s="6">
        <v>0</v>
      </c>
      <c r="G157" s="200">
        <v>65000</v>
      </c>
      <c r="H157" s="6">
        <v>0</v>
      </c>
      <c r="I157" s="6">
        <v>0</v>
      </c>
      <c r="J157" s="6"/>
      <c r="K157" s="6">
        <v>0</v>
      </c>
      <c r="L157" s="5"/>
    </row>
    <row r="158" spans="3:12" x14ac:dyDescent="0.25">
      <c r="C158" s="226"/>
      <c r="D158" s="197"/>
      <c r="E158" s="99"/>
      <c r="F158" s="6">
        <v>0</v>
      </c>
      <c r="G158" s="6">
        <v>0</v>
      </c>
      <c r="H158" s="6">
        <v>0</v>
      </c>
      <c r="I158" s="6">
        <v>0</v>
      </c>
      <c r="J158" s="6"/>
      <c r="K158" s="6">
        <v>0</v>
      </c>
      <c r="L158" s="5"/>
    </row>
    <row r="159" spans="3:12" x14ac:dyDescent="0.25">
      <c r="C159" s="226"/>
      <c r="D159" s="197"/>
      <c r="E159" s="99"/>
      <c r="F159" s="6">
        <v>0</v>
      </c>
      <c r="G159" s="6">
        <v>0</v>
      </c>
      <c r="H159" s="6">
        <v>0</v>
      </c>
      <c r="I159" s="6">
        <v>0</v>
      </c>
      <c r="J159" s="6"/>
      <c r="K159" s="6">
        <v>0</v>
      </c>
      <c r="L159" s="5"/>
    </row>
    <row r="160" spans="3:12" x14ac:dyDescent="0.25">
      <c r="C160" s="226"/>
      <c r="D160" s="197"/>
      <c r="E160" s="99"/>
      <c r="F160" s="6">
        <v>0</v>
      </c>
      <c r="G160" s="6">
        <v>0</v>
      </c>
      <c r="H160" s="6">
        <v>0</v>
      </c>
      <c r="I160" s="6">
        <v>0</v>
      </c>
      <c r="J160" s="6"/>
      <c r="K160" s="6">
        <v>0</v>
      </c>
      <c r="L160" s="5"/>
    </row>
    <row r="161" spans="3:12" x14ac:dyDescent="0.25">
      <c r="C161" s="226"/>
      <c r="D161" s="197"/>
      <c r="E161" s="99"/>
      <c r="F161" s="6">
        <v>0</v>
      </c>
      <c r="G161" s="6">
        <v>0</v>
      </c>
      <c r="H161" s="6">
        <v>0</v>
      </c>
      <c r="I161" s="6">
        <v>0</v>
      </c>
      <c r="J161" s="6"/>
      <c r="K161" s="6">
        <v>0</v>
      </c>
      <c r="L161" s="5"/>
    </row>
    <row r="162" spans="3:12" x14ac:dyDescent="0.25">
      <c r="C162" s="226"/>
      <c r="D162" s="197"/>
      <c r="E162" s="99"/>
      <c r="F162" s="6">
        <v>0</v>
      </c>
      <c r="G162" s="6">
        <v>0</v>
      </c>
      <c r="H162" s="6">
        <v>0</v>
      </c>
      <c r="I162" s="6">
        <v>0</v>
      </c>
      <c r="J162" s="6"/>
      <c r="K162" s="6">
        <v>0</v>
      </c>
      <c r="L162" s="5"/>
    </row>
    <row r="163" spans="3:12" x14ac:dyDescent="0.25">
      <c r="C163" s="226"/>
      <c r="D163" s="197"/>
      <c r="E163" s="99"/>
      <c r="F163" s="6">
        <v>0</v>
      </c>
      <c r="G163" s="6">
        <v>0</v>
      </c>
      <c r="H163" s="6">
        <v>0</v>
      </c>
      <c r="I163" s="6">
        <v>0</v>
      </c>
      <c r="J163" s="6"/>
      <c r="K163" s="6">
        <v>0</v>
      </c>
      <c r="L163" s="5"/>
    </row>
    <row r="164" spans="3:12" x14ac:dyDescent="0.25">
      <c r="C164" s="226"/>
      <c r="D164" s="197"/>
      <c r="E164" s="99"/>
      <c r="F164" s="6">
        <v>0</v>
      </c>
      <c r="G164" s="6">
        <v>0</v>
      </c>
      <c r="H164" s="6">
        <v>0</v>
      </c>
      <c r="I164" s="6">
        <v>0</v>
      </c>
      <c r="J164" s="6"/>
      <c r="K164" s="6">
        <v>0</v>
      </c>
      <c r="L164" s="5"/>
    </row>
    <row r="165" spans="3:12" x14ac:dyDescent="0.25">
      <c r="C165" s="226"/>
      <c r="D165" s="197"/>
      <c r="E165" s="99"/>
      <c r="F165" s="6">
        <v>0</v>
      </c>
      <c r="G165" s="6">
        <v>0</v>
      </c>
      <c r="H165" s="6">
        <v>0</v>
      </c>
      <c r="I165" s="6">
        <v>0</v>
      </c>
      <c r="J165" s="6"/>
      <c r="K165" s="6">
        <v>0</v>
      </c>
      <c r="L165" s="5"/>
    </row>
    <row r="166" spans="3:12" x14ac:dyDescent="0.25">
      <c r="C166" s="226"/>
      <c r="D166" s="197"/>
      <c r="E166" s="99"/>
      <c r="F166" s="6">
        <v>0</v>
      </c>
      <c r="G166" s="6">
        <v>0</v>
      </c>
      <c r="H166" s="6">
        <v>0</v>
      </c>
      <c r="I166" s="6">
        <v>0</v>
      </c>
      <c r="J166" s="6"/>
      <c r="K166" s="6">
        <v>0</v>
      </c>
      <c r="L166" s="198">
        <f>SUM(F151:G153)</f>
        <v>107680</v>
      </c>
    </row>
    <row r="167" spans="3:12" x14ac:dyDescent="0.25">
      <c r="C167" s="226"/>
      <c r="D167" s="197"/>
      <c r="E167" s="99"/>
      <c r="F167" s="6">
        <v>0</v>
      </c>
      <c r="G167" s="6">
        <v>0</v>
      </c>
      <c r="H167" s="6">
        <v>0</v>
      </c>
      <c r="I167" s="6">
        <v>0</v>
      </c>
      <c r="J167" s="6"/>
      <c r="K167" s="6">
        <v>0</v>
      </c>
      <c r="L167" s="201">
        <f>SUM(F154+F155+G156+G157)</f>
        <v>324500</v>
      </c>
    </row>
    <row r="168" spans="3:12" x14ac:dyDescent="0.25">
      <c r="C168" s="226"/>
      <c r="D168" s="197"/>
      <c r="E168" s="99"/>
      <c r="F168" s="6">
        <v>0</v>
      </c>
      <c r="G168" s="6">
        <v>0</v>
      </c>
      <c r="H168" s="6">
        <v>0</v>
      </c>
      <c r="I168" s="6">
        <v>0</v>
      </c>
      <c r="J168" s="6"/>
      <c r="K168" s="6">
        <v>0</v>
      </c>
      <c r="L168" s="5"/>
    </row>
    <row r="169" spans="3:12" x14ac:dyDescent="0.25">
      <c r="C169" s="101"/>
      <c r="D169" s="117"/>
      <c r="E169" s="102" t="s">
        <v>27</v>
      </c>
      <c r="F169" s="33">
        <f>SUM(F151:F168)</f>
        <v>237180</v>
      </c>
      <c r="G169" s="33">
        <f>SUM(G151:G168)</f>
        <v>195000</v>
      </c>
      <c r="H169" s="33">
        <f>SUM(H151:H168)</f>
        <v>0</v>
      </c>
      <c r="I169" s="33">
        <f>SUM(I151:I168)</f>
        <v>0</v>
      </c>
      <c r="J169" s="33">
        <f>SUM(J151:J168)</f>
        <v>0</v>
      </c>
      <c r="K169" s="33">
        <f>SUM(F169:J169)-J169</f>
        <v>432180</v>
      </c>
      <c r="L169" s="16">
        <f ca="1">C151:L169</f>
        <v>0</v>
      </c>
    </row>
    <row r="170" spans="3:12" x14ac:dyDescent="0.25">
      <c r="C170" s="225">
        <v>10</v>
      </c>
      <c r="D170" s="197" t="s">
        <v>34</v>
      </c>
      <c r="E170" s="15" t="s">
        <v>168</v>
      </c>
      <c r="F170" s="212">
        <v>10000</v>
      </c>
      <c r="G170" s="6">
        <v>0</v>
      </c>
      <c r="H170" s="6">
        <v>0</v>
      </c>
      <c r="I170" s="6">
        <v>0</v>
      </c>
      <c r="J170" s="6"/>
      <c r="K170" s="6">
        <v>0</v>
      </c>
      <c r="L170" s="5"/>
    </row>
    <row r="171" spans="3:12" x14ac:dyDescent="0.25">
      <c r="C171" s="226"/>
      <c r="D171" s="197" t="s">
        <v>127</v>
      </c>
      <c r="E171" s="15" t="s">
        <v>168</v>
      </c>
      <c r="F171" s="212">
        <v>33300</v>
      </c>
      <c r="G171" s="6">
        <v>0</v>
      </c>
      <c r="H171" s="6">
        <v>0</v>
      </c>
      <c r="I171" s="6">
        <v>0</v>
      </c>
      <c r="J171" s="6"/>
      <c r="K171" s="6">
        <v>0</v>
      </c>
      <c r="L171" s="5"/>
    </row>
    <row r="172" spans="3:12" x14ac:dyDescent="0.25">
      <c r="C172" s="226"/>
      <c r="D172" s="197" t="s">
        <v>22</v>
      </c>
      <c r="E172" s="15" t="s">
        <v>168</v>
      </c>
      <c r="F172" s="212">
        <v>177000</v>
      </c>
      <c r="G172" s="6">
        <v>0</v>
      </c>
      <c r="H172" s="6">
        <v>0</v>
      </c>
      <c r="I172" s="6">
        <v>0</v>
      </c>
      <c r="J172" s="6"/>
      <c r="K172" s="6">
        <v>0</v>
      </c>
      <c r="L172" s="5"/>
    </row>
    <row r="173" spans="3:12" x14ac:dyDescent="0.25">
      <c r="C173" s="226"/>
      <c r="D173" s="197" t="s">
        <v>145</v>
      </c>
      <c r="E173" s="99" t="s">
        <v>169</v>
      </c>
      <c r="F173" s="6">
        <v>0</v>
      </c>
      <c r="G173" s="212">
        <v>55000</v>
      </c>
      <c r="H173" s="6">
        <v>0</v>
      </c>
      <c r="I173" s="6">
        <v>0</v>
      </c>
      <c r="J173" s="6"/>
      <c r="K173" s="6">
        <v>0</v>
      </c>
      <c r="L173" s="5"/>
    </row>
    <row r="174" spans="3:12" x14ac:dyDescent="0.25">
      <c r="C174" s="226"/>
      <c r="D174" s="197" t="s">
        <v>19</v>
      </c>
      <c r="E174" s="15" t="s">
        <v>168</v>
      </c>
      <c r="F174" s="204">
        <v>18680</v>
      </c>
      <c r="G174" s="6">
        <v>0</v>
      </c>
      <c r="H174" s="6">
        <v>0</v>
      </c>
      <c r="I174" s="6">
        <v>0</v>
      </c>
      <c r="J174" s="6"/>
      <c r="K174" s="6">
        <v>0</v>
      </c>
      <c r="L174" s="5"/>
    </row>
    <row r="175" spans="3:12" x14ac:dyDescent="0.25">
      <c r="C175" s="226"/>
      <c r="D175" s="197" t="s">
        <v>18</v>
      </c>
      <c r="E175" s="15" t="s">
        <v>168</v>
      </c>
      <c r="F175" s="204">
        <v>60790</v>
      </c>
      <c r="G175" s="6">
        <v>0</v>
      </c>
      <c r="H175" s="6">
        <v>0</v>
      </c>
      <c r="I175" s="6">
        <v>0</v>
      </c>
      <c r="J175" s="6"/>
      <c r="K175" s="6">
        <v>0</v>
      </c>
      <c r="L175" s="5"/>
    </row>
    <row r="176" spans="3:12" x14ac:dyDescent="0.25">
      <c r="C176" s="226"/>
      <c r="D176" s="197" t="s">
        <v>154</v>
      </c>
      <c r="E176" s="99" t="s">
        <v>172</v>
      </c>
      <c r="F176" s="6">
        <v>0</v>
      </c>
      <c r="G176" s="202">
        <v>55000</v>
      </c>
      <c r="H176" s="6">
        <v>0</v>
      </c>
      <c r="I176" s="6">
        <v>0</v>
      </c>
      <c r="J176" s="6"/>
      <c r="K176" s="6">
        <v>0</v>
      </c>
      <c r="L176" s="5"/>
    </row>
    <row r="177" spans="1:12" x14ac:dyDescent="0.25">
      <c r="C177" s="226"/>
      <c r="D177" s="197" t="s">
        <v>44</v>
      </c>
      <c r="E177" s="99" t="s">
        <v>172</v>
      </c>
      <c r="F177" s="6">
        <v>0</v>
      </c>
      <c r="G177" s="202">
        <v>55000</v>
      </c>
      <c r="H177" s="6">
        <v>0</v>
      </c>
      <c r="I177" s="6">
        <v>0</v>
      </c>
      <c r="J177" s="6"/>
      <c r="K177" s="6">
        <v>0</v>
      </c>
      <c r="L177" s="5"/>
    </row>
    <row r="178" spans="1:12" x14ac:dyDescent="0.25">
      <c r="A178" s="3" t="s">
        <v>191</v>
      </c>
      <c r="C178" s="226"/>
      <c r="D178" s="3" t="s">
        <v>191</v>
      </c>
      <c r="E178" s="15" t="s">
        <v>168</v>
      </c>
      <c r="F178" s="204">
        <v>35000</v>
      </c>
      <c r="G178" s="6">
        <v>0</v>
      </c>
      <c r="H178" s="6">
        <v>0</v>
      </c>
      <c r="I178" s="6">
        <v>0</v>
      </c>
      <c r="J178" s="6"/>
      <c r="K178" s="6">
        <v>0</v>
      </c>
      <c r="L178" s="5"/>
    </row>
    <row r="179" spans="1:12" x14ac:dyDescent="0.25">
      <c r="C179" s="226"/>
      <c r="D179" s="197" t="s">
        <v>148</v>
      </c>
      <c r="E179" s="15" t="s">
        <v>168</v>
      </c>
      <c r="F179" s="204">
        <v>103100</v>
      </c>
      <c r="G179" s="6">
        <v>0</v>
      </c>
      <c r="H179" s="6">
        <v>0</v>
      </c>
      <c r="I179" s="6">
        <v>0</v>
      </c>
      <c r="J179" s="6"/>
      <c r="K179" s="6">
        <v>0</v>
      </c>
      <c r="L179" s="5"/>
    </row>
    <row r="180" spans="1:12" x14ac:dyDescent="0.25">
      <c r="C180" s="226"/>
      <c r="D180" s="197"/>
      <c r="E180" s="99"/>
      <c r="F180" s="6">
        <v>0</v>
      </c>
      <c r="G180" s="6">
        <v>0</v>
      </c>
      <c r="H180" s="6">
        <v>0</v>
      </c>
      <c r="I180" s="6">
        <v>0</v>
      </c>
      <c r="J180" s="6"/>
      <c r="K180" s="6">
        <v>0</v>
      </c>
      <c r="L180" s="5"/>
    </row>
    <row r="181" spans="1:12" x14ac:dyDescent="0.25">
      <c r="C181" s="226"/>
      <c r="D181" s="197"/>
      <c r="E181" s="99"/>
      <c r="F181" s="6">
        <v>0</v>
      </c>
      <c r="G181" s="6">
        <v>0</v>
      </c>
      <c r="H181" s="6">
        <v>0</v>
      </c>
      <c r="I181" s="6">
        <v>0</v>
      </c>
      <c r="J181" s="6"/>
      <c r="K181" s="6">
        <v>0</v>
      </c>
      <c r="L181" s="5"/>
    </row>
    <row r="182" spans="1:12" x14ac:dyDescent="0.25">
      <c r="C182" s="226"/>
      <c r="D182" s="197"/>
      <c r="E182" s="99"/>
      <c r="F182" s="6">
        <v>0</v>
      </c>
      <c r="G182" s="6">
        <v>0</v>
      </c>
      <c r="H182" s="6">
        <v>0</v>
      </c>
      <c r="I182" s="6">
        <v>0</v>
      </c>
      <c r="J182" s="6"/>
      <c r="K182" s="6">
        <v>0</v>
      </c>
      <c r="L182" s="5"/>
    </row>
    <row r="183" spans="1:12" x14ac:dyDescent="0.25">
      <c r="C183" s="226"/>
      <c r="D183" s="197"/>
      <c r="E183" s="99"/>
      <c r="F183" s="6">
        <v>0</v>
      </c>
      <c r="G183" s="6">
        <v>0</v>
      </c>
      <c r="H183" s="6">
        <v>0</v>
      </c>
      <c r="I183" s="6">
        <v>0</v>
      </c>
      <c r="J183" s="6"/>
      <c r="K183" s="6">
        <v>0</v>
      </c>
      <c r="L183" s="108">
        <f>SUM(F170:F172)+G173</f>
        <v>275300</v>
      </c>
    </row>
    <row r="184" spans="1:12" x14ac:dyDescent="0.25">
      <c r="C184" s="226"/>
      <c r="D184" s="197"/>
      <c r="E184" s="99"/>
      <c r="F184" s="6">
        <v>0</v>
      </c>
      <c r="G184" s="6">
        <v>0</v>
      </c>
      <c r="H184" s="6">
        <v>0</v>
      </c>
      <c r="I184" s="6">
        <v>0</v>
      </c>
      <c r="J184" s="6"/>
      <c r="K184" s="6">
        <v>0</v>
      </c>
      <c r="L184" s="203">
        <f>SUM(+F174+F175+F178+F179)</f>
        <v>217570</v>
      </c>
    </row>
    <row r="185" spans="1:12" x14ac:dyDescent="0.25">
      <c r="C185" s="227"/>
      <c r="D185" s="197"/>
      <c r="E185" s="99"/>
      <c r="F185" s="6">
        <v>0</v>
      </c>
      <c r="G185" s="6">
        <v>0</v>
      </c>
      <c r="H185" s="6">
        <v>0</v>
      </c>
      <c r="I185" s="6">
        <v>0</v>
      </c>
      <c r="J185" s="6"/>
      <c r="K185" s="6">
        <v>0</v>
      </c>
      <c r="L185" s="108">
        <f>L183+L184</f>
        <v>492870</v>
      </c>
    </row>
    <row r="186" spans="1:12" x14ac:dyDescent="0.25">
      <c r="C186" s="101"/>
      <c r="D186" s="117"/>
      <c r="E186" s="102" t="s">
        <v>27</v>
      </c>
      <c r="F186" s="33">
        <f>SUM(F170:F185)</f>
        <v>437870</v>
      </c>
      <c r="G186" s="33">
        <f>SUM(G172:G185)</f>
        <v>165000</v>
      </c>
      <c r="H186" s="33">
        <f>SUM(H170:H185)</f>
        <v>0</v>
      </c>
      <c r="I186" s="33">
        <f>SUM(I170:I185)</f>
        <v>0</v>
      </c>
      <c r="J186" s="33">
        <f>SUM(J170:J185)</f>
        <v>0</v>
      </c>
      <c r="K186" s="33">
        <f>SUM(F186:J186)-J186</f>
        <v>602870</v>
      </c>
      <c r="L186" s="16"/>
    </row>
    <row r="187" spans="1:12" x14ac:dyDescent="0.25">
      <c r="C187" s="225">
        <v>11</v>
      </c>
      <c r="D187" s="197" t="s">
        <v>38</v>
      </c>
      <c r="E187" s="15" t="s">
        <v>168</v>
      </c>
      <c r="F187" s="202">
        <v>166410</v>
      </c>
      <c r="G187" s="6">
        <v>0</v>
      </c>
      <c r="H187" s="6">
        <v>0</v>
      </c>
      <c r="I187" s="6">
        <v>0</v>
      </c>
      <c r="J187" s="6"/>
      <c r="K187" s="6">
        <v>0</v>
      </c>
      <c r="L187" s="5"/>
    </row>
    <row r="188" spans="1:12" x14ac:dyDescent="0.25">
      <c r="C188" s="226"/>
      <c r="D188" s="197" t="s">
        <v>24</v>
      </c>
      <c r="E188" s="15" t="s">
        <v>168</v>
      </c>
      <c r="F188" s="215">
        <v>288323</v>
      </c>
      <c r="G188" s="6">
        <v>0</v>
      </c>
      <c r="H188" s="6">
        <v>0</v>
      </c>
      <c r="I188" s="6">
        <v>0</v>
      </c>
      <c r="J188" s="6"/>
      <c r="K188" s="6">
        <v>0</v>
      </c>
      <c r="L188" s="5"/>
    </row>
    <row r="189" spans="1:12" x14ac:dyDescent="0.25">
      <c r="C189" s="226"/>
      <c r="D189" s="197" t="s">
        <v>139</v>
      </c>
      <c r="E189" s="15" t="s">
        <v>168</v>
      </c>
      <c r="F189" s="215">
        <v>10000</v>
      </c>
      <c r="G189" s="6">
        <v>0</v>
      </c>
      <c r="H189" s="6">
        <v>0</v>
      </c>
      <c r="I189" s="6">
        <v>0</v>
      </c>
      <c r="J189" s="6"/>
      <c r="K189" s="6">
        <v>0</v>
      </c>
      <c r="L189" s="5"/>
    </row>
    <row r="190" spans="1:12" x14ac:dyDescent="0.25">
      <c r="C190" s="226"/>
      <c r="D190" s="197" t="s">
        <v>145</v>
      </c>
      <c r="E190" s="99" t="s">
        <v>169</v>
      </c>
      <c r="F190" s="6">
        <v>0</v>
      </c>
      <c r="G190" s="215">
        <v>55000</v>
      </c>
      <c r="H190" s="6">
        <v>0</v>
      </c>
      <c r="I190" s="6">
        <v>0</v>
      </c>
      <c r="J190" s="6"/>
      <c r="K190" s="6">
        <v>0</v>
      </c>
      <c r="L190" s="5"/>
    </row>
    <row r="191" spans="1:12" x14ac:dyDescent="0.25">
      <c r="C191" s="226"/>
      <c r="D191" s="197" t="s">
        <v>40</v>
      </c>
      <c r="E191" s="99" t="s">
        <v>168</v>
      </c>
      <c r="F191" s="204">
        <v>28280</v>
      </c>
      <c r="G191" s="6">
        <v>0</v>
      </c>
      <c r="H191" s="6">
        <v>0</v>
      </c>
      <c r="I191" s="6">
        <v>0</v>
      </c>
      <c r="J191" s="6"/>
      <c r="K191" s="6">
        <v>0</v>
      </c>
      <c r="L191" s="5"/>
    </row>
    <row r="192" spans="1:12" x14ac:dyDescent="0.25">
      <c r="C192" s="226"/>
      <c r="D192" s="197" t="s">
        <v>18</v>
      </c>
      <c r="E192" s="99" t="s">
        <v>168</v>
      </c>
      <c r="F192" s="204">
        <v>11950</v>
      </c>
      <c r="G192" s="6">
        <v>0</v>
      </c>
      <c r="H192" s="6">
        <v>0</v>
      </c>
      <c r="I192" s="6">
        <v>0</v>
      </c>
      <c r="J192" s="6"/>
      <c r="K192" s="6">
        <v>0</v>
      </c>
      <c r="L192" s="5"/>
    </row>
    <row r="193" spans="3:12" x14ac:dyDescent="0.25">
      <c r="C193" s="226"/>
      <c r="D193" s="197" t="s">
        <v>19</v>
      </c>
      <c r="E193" s="99" t="s">
        <v>168</v>
      </c>
      <c r="F193" s="204">
        <v>23490</v>
      </c>
      <c r="G193" s="6">
        <v>0</v>
      </c>
      <c r="H193" s="6">
        <v>0</v>
      </c>
      <c r="I193" s="6">
        <v>0</v>
      </c>
      <c r="J193" s="6"/>
      <c r="K193" s="6">
        <v>0</v>
      </c>
      <c r="L193" s="5"/>
    </row>
    <row r="194" spans="3:12" x14ac:dyDescent="0.25">
      <c r="C194" s="226"/>
      <c r="D194" s="197" t="s">
        <v>148</v>
      </c>
      <c r="E194" s="99" t="s">
        <v>168</v>
      </c>
      <c r="F194" s="204">
        <v>142100</v>
      </c>
      <c r="G194" s="6">
        <v>0</v>
      </c>
      <c r="H194" s="6">
        <v>0</v>
      </c>
      <c r="I194" s="6">
        <v>0</v>
      </c>
      <c r="J194" s="6"/>
      <c r="K194" s="6">
        <v>0</v>
      </c>
      <c r="L194" s="5"/>
    </row>
    <row r="195" spans="3:12" x14ac:dyDescent="0.25">
      <c r="C195" s="226"/>
      <c r="D195" s="197" t="s">
        <v>127</v>
      </c>
      <c r="E195" s="99" t="s">
        <v>168</v>
      </c>
      <c r="F195" s="210">
        <v>27160</v>
      </c>
      <c r="G195" s="6">
        <v>0</v>
      </c>
      <c r="H195" s="6">
        <v>0</v>
      </c>
      <c r="I195" s="6">
        <v>0</v>
      </c>
      <c r="J195" s="6"/>
      <c r="K195" s="6">
        <v>0</v>
      </c>
      <c r="L195" s="5"/>
    </row>
    <row r="196" spans="3:12" x14ac:dyDescent="0.25">
      <c r="C196" s="226"/>
      <c r="D196" s="197" t="s">
        <v>37</v>
      </c>
      <c r="E196" s="99" t="s">
        <v>172</v>
      </c>
      <c r="F196" s="6">
        <v>0</v>
      </c>
      <c r="G196" s="210">
        <v>50000</v>
      </c>
      <c r="H196" s="6">
        <v>0</v>
      </c>
      <c r="I196" s="6">
        <v>0</v>
      </c>
      <c r="J196" s="6"/>
      <c r="K196" s="6">
        <v>0</v>
      </c>
      <c r="L196" s="5"/>
    </row>
    <row r="197" spans="3:12" x14ac:dyDescent="0.25">
      <c r="C197" s="226"/>
      <c r="D197" s="197" t="s">
        <v>44</v>
      </c>
      <c r="E197" s="99" t="s">
        <v>172</v>
      </c>
      <c r="F197" s="6">
        <v>0</v>
      </c>
      <c r="G197" s="210">
        <v>50000</v>
      </c>
      <c r="H197" s="6">
        <v>0</v>
      </c>
      <c r="I197" s="6">
        <v>0</v>
      </c>
      <c r="J197" s="6"/>
      <c r="K197" s="6">
        <v>0</v>
      </c>
      <c r="L197" s="5"/>
    </row>
    <row r="198" spans="3:12" x14ac:dyDescent="0.25">
      <c r="C198" s="226"/>
      <c r="D198" s="197"/>
      <c r="E198" s="99"/>
      <c r="F198" s="6">
        <v>0</v>
      </c>
      <c r="G198" s="6"/>
      <c r="H198" s="6">
        <v>0</v>
      </c>
      <c r="I198" s="6">
        <v>0</v>
      </c>
      <c r="J198" s="6"/>
      <c r="K198" s="6">
        <v>0</v>
      </c>
      <c r="L198" s="5"/>
    </row>
    <row r="199" spans="3:12" x14ac:dyDescent="0.25">
      <c r="C199" s="226"/>
      <c r="D199" s="197"/>
      <c r="E199" s="99"/>
      <c r="F199" s="6">
        <v>0</v>
      </c>
      <c r="G199" s="6">
        <v>0</v>
      </c>
      <c r="H199" s="6">
        <v>0</v>
      </c>
      <c r="I199" s="6">
        <v>0</v>
      </c>
      <c r="J199" s="6"/>
      <c r="K199" s="6">
        <v>0</v>
      </c>
      <c r="L199" s="5"/>
    </row>
    <row r="200" spans="3:12" x14ac:dyDescent="0.25">
      <c r="C200" s="226"/>
      <c r="D200" s="197"/>
      <c r="E200" s="99"/>
      <c r="F200" s="6">
        <v>0</v>
      </c>
      <c r="G200" s="6">
        <v>0</v>
      </c>
      <c r="H200" s="6">
        <v>0</v>
      </c>
      <c r="I200" s="6">
        <v>0</v>
      </c>
      <c r="J200" s="6"/>
      <c r="K200" s="6">
        <v>0</v>
      </c>
      <c r="L200" s="5"/>
    </row>
    <row r="201" spans="3:12" x14ac:dyDescent="0.25">
      <c r="C201" s="226"/>
      <c r="D201" s="197"/>
      <c r="E201" s="99"/>
      <c r="F201" s="6">
        <v>0</v>
      </c>
      <c r="G201" s="6">
        <v>0</v>
      </c>
      <c r="H201" s="6">
        <v>0</v>
      </c>
      <c r="I201" s="6">
        <v>0</v>
      </c>
      <c r="J201" s="6"/>
      <c r="K201" s="6">
        <v>0</v>
      </c>
      <c r="L201" s="108">
        <f>SUM(F188+F189+G190)</f>
        <v>353323</v>
      </c>
    </row>
    <row r="202" spans="3:12" x14ac:dyDescent="0.25">
      <c r="C202" s="226"/>
      <c r="D202" s="197"/>
      <c r="E202" s="99"/>
      <c r="F202" s="6">
        <v>0</v>
      </c>
      <c r="G202" s="6">
        <v>0</v>
      </c>
      <c r="H202" s="6">
        <v>0</v>
      </c>
      <c r="I202" s="6">
        <v>0</v>
      </c>
      <c r="J202" s="6"/>
      <c r="K202" s="6">
        <v>0</v>
      </c>
      <c r="L202" s="203">
        <f>SUM(F191:F194)</f>
        <v>205820</v>
      </c>
    </row>
    <row r="203" spans="3:12" x14ac:dyDescent="0.25">
      <c r="C203" s="226"/>
      <c r="D203" s="197"/>
      <c r="E203" s="99"/>
      <c r="F203" s="6">
        <v>0</v>
      </c>
      <c r="G203" s="6">
        <v>0</v>
      </c>
      <c r="H203" s="6">
        <v>0</v>
      </c>
      <c r="I203" s="6">
        <v>0</v>
      </c>
      <c r="J203" s="6"/>
      <c r="K203" s="6">
        <v>0</v>
      </c>
      <c r="L203" s="108">
        <f>L201+L202</f>
        <v>559143</v>
      </c>
    </row>
    <row r="204" spans="3:12" x14ac:dyDescent="0.25">
      <c r="C204" s="101"/>
      <c r="D204" s="117"/>
      <c r="E204" s="102" t="s">
        <v>27</v>
      </c>
      <c r="F204" s="33">
        <f>SUM(F187:F203)</f>
        <v>697713</v>
      </c>
      <c r="G204" s="33">
        <f>SUM(G187:G203)</f>
        <v>155000</v>
      </c>
      <c r="H204" s="33">
        <f>SUM(H187:H203)</f>
        <v>0</v>
      </c>
      <c r="I204" s="33">
        <f>SUM(I187:I203)</f>
        <v>0</v>
      </c>
      <c r="J204" s="33">
        <f>SUM(J187:J203)</f>
        <v>0</v>
      </c>
      <c r="K204" s="33">
        <f>SUM(F204:J204)-J204</f>
        <v>852713</v>
      </c>
      <c r="L204" s="16"/>
    </row>
    <row r="205" spans="3:12" x14ac:dyDescent="0.25">
      <c r="C205" s="225">
        <v>12</v>
      </c>
      <c r="D205" s="197" t="s">
        <v>34</v>
      </c>
      <c r="E205" s="99" t="s">
        <v>168</v>
      </c>
      <c r="F205" s="212">
        <v>10000</v>
      </c>
      <c r="G205" s="6">
        <v>0</v>
      </c>
      <c r="H205" s="6">
        <v>0</v>
      </c>
      <c r="I205" s="6">
        <v>0</v>
      </c>
      <c r="J205" s="6"/>
      <c r="K205" s="6">
        <v>0</v>
      </c>
      <c r="L205" s="5"/>
    </row>
    <row r="206" spans="3:12" x14ac:dyDescent="0.25">
      <c r="C206" s="226"/>
      <c r="D206" s="197" t="s">
        <v>119</v>
      </c>
      <c r="E206" s="99" t="s">
        <v>168</v>
      </c>
      <c r="F206" s="212">
        <v>33162</v>
      </c>
      <c r="G206" s="6">
        <v>0</v>
      </c>
      <c r="H206" s="6">
        <v>0</v>
      </c>
      <c r="I206" s="6">
        <v>0</v>
      </c>
      <c r="J206" s="6"/>
      <c r="K206" s="6">
        <v>0</v>
      </c>
      <c r="L206" s="5"/>
    </row>
    <row r="207" spans="3:12" x14ac:dyDescent="0.25">
      <c r="C207" s="226"/>
      <c r="D207" s="197" t="s">
        <v>145</v>
      </c>
      <c r="E207" s="99" t="s">
        <v>169</v>
      </c>
      <c r="F207" s="6">
        <v>0</v>
      </c>
      <c r="G207" s="212">
        <v>55000</v>
      </c>
      <c r="H207" s="6">
        <v>0</v>
      </c>
      <c r="I207" s="6">
        <v>0</v>
      </c>
      <c r="J207" s="6"/>
      <c r="K207" s="6">
        <v>0</v>
      </c>
      <c r="L207" s="5"/>
    </row>
    <row r="208" spans="3:12" x14ac:dyDescent="0.25">
      <c r="C208" s="226"/>
      <c r="D208" s="197" t="s">
        <v>22</v>
      </c>
      <c r="E208" s="99" t="s">
        <v>168</v>
      </c>
      <c r="F208" s="204">
        <v>153000</v>
      </c>
      <c r="G208" s="6">
        <v>0</v>
      </c>
      <c r="H208" s="6">
        <v>0</v>
      </c>
      <c r="I208" s="6">
        <v>0</v>
      </c>
      <c r="J208" s="6"/>
      <c r="K208" s="6">
        <v>0</v>
      </c>
      <c r="L208" s="5"/>
    </row>
    <row r="209" spans="3:12" x14ac:dyDescent="0.25">
      <c r="C209" s="226"/>
      <c r="D209" s="197" t="s">
        <v>19</v>
      </c>
      <c r="E209" s="99" t="s">
        <v>168</v>
      </c>
      <c r="F209" s="204">
        <v>45890</v>
      </c>
      <c r="G209" s="6">
        <v>0</v>
      </c>
      <c r="H209" s="6">
        <v>0</v>
      </c>
      <c r="I209" s="6">
        <v>0</v>
      </c>
      <c r="J209" s="6"/>
      <c r="K209" s="6">
        <v>0</v>
      </c>
      <c r="L209" s="5"/>
    </row>
    <row r="210" spans="3:12" x14ac:dyDescent="0.25">
      <c r="C210" s="226"/>
      <c r="D210" s="197" t="s">
        <v>18</v>
      </c>
      <c r="E210" s="99" t="s">
        <v>168</v>
      </c>
      <c r="F210" s="204">
        <v>10850</v>
      </c>
      <c r="G210" s="6">
        <v>0</v>
      </c>
      <c r="H210" s="6">
        <v>0</v>
      </c>
      <c r="I210" s="6">
        <v>0</v>
      </c>
      <c r="J210" s="6"/>
      <c r="K210" s="6">
        <v>0</v>
      </c>
      <c r="L210" s="5"/>
    </row>
    <row r="211" spans="3:12" x14ac:dyDescent="0.25">
      <c r="C211" s="226"/>
      <c r="D211" s="197" t="s">
        <v>105</v>
      </c>
      <c r="E211" s="99" t="s">
        <v>168</v>
      </c>
      <c r="F211" s="204">
        <v>26200</v>
      </c>
      <c r="G211" s="6">
        <v>0</v>
      </c>
      <c r="H211" s="6">
        <v>0</v>
      </c>
      <c r="I211" s="6">
        <v>0</v>
      </c>
      <c r="J211" s="6"/>
      <c r="K211" s="6">
        <v>0</v>
      </c>
      <c r="L211" s="5"/>
    </row>
    <row r="212" spans="3:12" x14ac:dyDescent="0.25">
      <c r="C212" s="226"/>
      <c r="D212" s="197" t="s">
        <v>148</v>
      </c>
      <c r="E212" s="99" t="s">
        <v>168</v>
      </c>
      <c r="F212" s="204">
        <v>67300</v>
      </c>
      <c r="G212" s="6">
        <v>0</v>
      </c>
      <c r="H212" s="6">
        <v>0</v>
      </c>
      <c r="I212" s="6">
        <v>0</v>
      </c>
      <c r="J212" s="6"/>
      <c r="K212" s="6">
        <v>0</v>
      </c>
      <c r="L212" s="5"/>
    </row>
    <row r="213" spans="3:12" x14ac:dyDescent="0.25">
      <c r="C213" s="226"/>
      <c r="D213" s="197" t="s">
        <v>37</v>
      </c>
      <c r="E213" s="99" t="s">
        <v>172</v>
      </c>
      <c r="F213" s="6">
        <v>0</v>
      </c>
      <c r="G213" s="204">
        <v>55000</v>
      </c>
      <c r="H213" s="6">
        <v>0</v>
      </c>
      <c r="I213" s="6">
        <v>0</v>
      </c>
      <c r="J213" s="6"/>
      <c r="K213" s="6">
        <v>0</v>
      </c>
      <c r="L213" s="5"/>
    </row>
    <row r="214" spans="3:12" x14ac:dyDescent="0.25">
      <c r="C214" s="226"/>
      <c r="D214" s="197" t="s">
        <v>44</v>
      </c>
      <c r="E214" s="99" t="s">
        <v>172</v>
      </c>
      <c r="F214" s="6">
        <v>0</v>
      </c>
      <c r="G214" s="204">
        <v>55000</v>
      </c>
      <c r="H214" s="6">
        <v>0</v>
      </c>
      <c r="I214" s="6">
        <v>0</v>
      </c>
      <c r="J214" s="6"/>
      <c r="K214" s="6">
        <v>0</v>
      </c>
      <c r="L214" s="5"/>
    </row>
    <row r="215" spans="3:12" x14ac:dyDescent="0.25">
      <c r="C215" s="226"/>
      <c r="D215" s="197"/>
      <c r="E215" s="99"/>
      <c r="F215" s="6">
        <v>0</v>
      </c>
      <c r="G215" s="6">
        <v>0</v>
      </c>
      <c r="H215" s="6">
        <v>0</v>
      </c>
      <c r="I215" s="6">
        <v>0</v>
      </c>
      <c r="J215" s="6"/>
      <c r="K215" s="6">
        <v>0</v>
      </c>
      <c r="L215" s="5"/>
    </row>
    <row r="216" spans="3:12" x14ac:dyDescent="0.25">
      <c r="C216" s="226"/>
      <c r="D216" s="197"/>
      <c r="E216" s="99"/>
      <c r="F216" s="6">
        <v>0</v>
      </c>
      <c r="G216" s="6">
        <v>0</v>
      </c>
      <c r="H216" s="6">
        <v>0</v>
      </c>
      <c r="I216" s="6">
        <v>0</v>
      </c>
      <c r="J216" s="6"/>
      <c r="K216" s="6">
        <v>0</v>
      </c>
      <c r="L216" s="5"/>
    </row>
    <row r="217" spans="3:12" x14ac:dyDescent="0.25">
      <c r="C217" s="226"/>
      <c r="D217" s="197"/>
      <c r="E217" s="99"/>
      <c r="F217" s="6">
        <v>0</v>
      </c>
      <c r="G217" s="6">
        <v>0</v>
      </c>
      <c r="H217" s="6">
        <v>0</v>
      </c>
      <c r="I217" s="6">
        <v>0</v>
      </c>
      <c r="J217" s="6"/>
      <c r="K217" s="6">
        <v>0</v>
      </c>
      <c r="L217" s="5"/>
    </row>
    <row r="218" spans="3:12" x14ac:dyDescent="0.25">
      <c r="C218" s="226"/>
      <c r="D218" s="197"/>
      <c r="E218" s="99"/>
      <c r="F218" s="6">
        <v>0</v>
      </c>
      <c r="G218" s="6">
        <v>0</v>
      </c>
      <c r="H218" s="6">
        <v>0</v>
      </c>
      <c r="I218" s="6">
        <v>0</v>
      </c>
      <c r="J218" s="6"/>
      <c r="K218" s="6">
        <v>0</v>
      </c>
      <c r="L218" s="5"/>
    </row>
    <row r="219" spans="3:12" x14ac:dyDescent="0.25">
      <c r="C219" s="226"/>
      <c r="D219" s="197"/>
      <c r="E219" s="99"/>
      <c r="F219" s="6">
        <v>0</v>
      </c>
      <c r="G219" s="6">
        <v>0</v>
      </c>
      <c r="H219" s="6">
        <v>0</v>
      </c>
      <c r="I219" s="6">
        <v>0</v>
      </c>
      <c r="J219" s="6"/>
      <c r="K219" s="6">
        <v>0</v>
      </c>
      <c r="L219" s="5"/>
    </row>
    <row r="220" spans="3:12" x14ac:dyDescent="0.25">
      <c r="C220" s="226"/>
      <c r="D220" s="197"/>
      <c r="E220" s="99"/>
      <c r="F220" s="6">
        <v>0</v>
      </c>
      <c r="G220" s="6">
        <v>0</v>
      </c>
      <c r="H220" s="6">
        <v>0</v>
      </c>
      <c r="I220" s="6">
        <v>0</v>
      </c>
      <c r="J220" s="6"/>
      <c r="K220" s="6">
        <v>0</v>
      </c>
      <c r="L220" s="5"/>
    </row>
    <row r="221" spans="3:12" x14ac:dyDescent="0.25">
      <c r="C221" s="226"/>
      <c r="D221" s="197"/>
      <c r="E221" s="99"/>
      <c r="F221" s="6">
        <v>0</v>
      </c>
      <c r="G221" s="6">
        <v>0</v>
      </c>
      <c r="H221" s="6">
        <v>0</v>
      </c>
      <c r="I221" s="6">
        <v>0</v>
      </c>
      <c r="J221" s="6"/>
      <c r="K221" s="6">
        <v>0</v>
      </c>
      <c r="L221" s="198">
        <f>SUM(F205+F206+G207)</f>
        <v>98162</v>
      </c>
    </row>
    <row r="222" spans="3:12" x14ac:dyDescent="0.25">
      <c r="C222" s="226"/>
      <c r="D222" s="197"/>
      <c r="E222" s="99"/>
      <c r="F222" s="6">
        <v>0</v>
      </c>
      <c r="G222" s="6">
        <v>0</v>
      </c>
      <c r="H222" s="6">
        <v>0</v>
      </c>
      <c r="I222" s="6">
        <v>0</v>
      </c>
      <c r="J222" s="6"/>
      <c r="K222" s="6">
        <v>0</v>
      </c>
      <c r="L222" s="203">
        <f>SUM(F208:F212)+G213+G214</f>
        <v>413240</v>
      </c>
    </row>
    <row r="223" spans="3:12" x14ac:dyDescent="0.25">
      <c r="C223" s="226"/>
      <c r="D223" s="197"/>
      <c r="E223" s="99"/>
      <c r="F223" s="6">
        <v>0</v>
      </c>
      <c r="G223" s="6">
        <v>0</v>
      </c>
      <c r="H223" s="6">
        <v>0</v>
      </c>
      <c r="I223" s="6">
        <v>0</v>
      </c>
      <c r="J223" s="6"/>
      <c r="K223" s="6">
        <v>0</v>
      </c>
      <c r="L223" s="108">
        <f>L221+L222</f>
        <v>511402</v>
      </c>
    </row>
    <row r="224" spans="3:12" x14ac:dyDescent="0.25">
      <c r="C224" s="101"/>
      <c r="D224" s="117"/>
      <c r="E224" s="102" t="s">
        <v>27</v>
      </c>
      <c r="F224" s="33">
        <f>SUM(F205:F223)</f>
        <v>346402</v>
      </c>
      <c r="G224" s="33">
        <f>SUM(G205:G223)</f>
        <v>165000</v>
      </c>
      <c r="H224" s="33">
        <f>SUM(H205:H223)</f>
        <v>0</v>
      </c>
      <c r="I224" s="33">
        <f>SUM(I205:I223)</f>
        <v>0</v>
      </c>
      <c r="J224" s="33">
        <f>SUM(J205:J223)</f>
        <v>0</v>
      </c>
      <c r="K224" s="33">
        <f>SUM(F224:J224)-J224</f>
        <v>511402</v>
      </c>
      <c r="L224" s="16"/>
    </row>
    <row r="225" spans="3:12" x14ac:dyDescent="0.25">
      <c r="C225" s="225">
        <v>13</v>
      </c>
      <c r="D225" s="197" t="s">
        <v>34</v>
      </c>
      <c r="E225" s="15" t="s">
        <v>168</v>
      </c>
      <c r="F225" s="212">
        <v>10000</v>
      </c>
      <c r="G225" s="6">
        <v>0</v>
      </c>
      <c r="H225" s="6">
        <v>0</v>
      </c>
      <c r="I225" s="6">
        <v>0</v>
      </c>
      <c r="J225" s="6"/>
      <c r="K225" s="6">
        <v>0</v>
      </c>
      <c r="L225" s="5"/>
    </row>
    <row r="226" spans="3:12" x14ac:dyDescent="0.25">
      <c r="C226" s="226"/>
      <c r="D226" s="197" t="s">
        <v>40</v>
      </c>
      <c r="E226" s="15" t="s">
        <v>168</v>
      </c>
      <c r="F226" s="212">
        <v>17290</v>
      </c>
      <c r="G226" s="6">
        <v>0</v>
      </c>
      <c r="H226" s="6">
        <v>0</v>
      </c>
      <c r="I226" s="6">
        <v>0</v>
      </c>
      <c r="J226" s="6"/>
      <c r="K226" s="6">
        <v>0</v>
      </c>
      <c r="L226" s="5"/>
    </row>
    <row r="227" spans="3:12" x14ac:dyDescent="0.25">
      <c r="C227" s="226"/>
      <c r="D227" s="197" t="s">
        <v>44</v>
      </c>
      <c r="E227" s="99" t="s">
        <v>169</v>
      </c>
      <c r="F227" s="6">
        <v>0</v>
      </c>
      <c r="G227" s="212">
        <v>55000</v>
      </c>
      <c r="H227" s="6">
        <v>0</v>
      </c>
      <c r="I227" s="6">
        <v>0</v>
      </c>
      <c r="J227" s="6"/>
      <c r="K227" s="6">
        <v>0</v>
      </c>
      <c r="L227" s="5"/>
    </row>
    <row r="228" spans="3:12" x14ac:dyDescent="0.25">
      <c r="C228" s="226"/>
      <c r="D228" s="197" t="s">
        <v>19</v>
      </c>
      <c r="E228" s="15" t="s">
        <v>168</v>
      </c>
      <c r="F228" s="200">
        <v>32660</v>
      </c>
      <c r="G228" s="6">
        <v>0</v>
      </c>
      <c r="H228" s="6">
        <v>0</v>
      </c>
      <c r="I228" s="6">
        <v>0</v>
      </c>
      <c r="J228" s="6"/>
      <c r="K228" s="6">
        <v>0</v>
      </c>
      <c r="L228" s="5"/>
    </row>
    <row r="229" spans="3:12" x14ac:dyDescent="0.25">
      <c r="C229" s="226"/>
      <c r="D229" s="197" t="s">
        <v>18</v>
      </c>
      <c r="E229" s="15" t="s">
        <v>168</v>
      </c>
      <c r="F229" s="200">
        <v>13860</v>
      </c>
      <c r="G229" s="6">
        <v>0</v>
      </c>
      <c r="H229" s="6">
        <v>0</v>
      </c>
      <c r="I229" s="6">
        <v>0</v>
      </c>
      <c r="J229" s="6"/>
      <c r="K229" s="6">
        <v>0</v>
      </c>
      <c r="L229" s="5"/>
    </row>
    <row r="230" spans="3:12" x14ac:dyDescent="0.25">
      <c r="C230" s="226"/>
      <c r="D230" s="197" t="s">
        <v>148</v>
      </c>
      <c r="E230" s="15" t="s">
        <v>168</v>
      </c>
      <c r="F230" s="200">
        <v>71600</v>
      </c>
      <c r="G230" s="6">
        <v>0</v>
      </c>
      <c r="H230" s="6">
        <v>0</v>
      </c>
      <c r="I230" s="6">
        <v>0</v>
      </c>
      <c r="J230" s="6"/>
      <c r="K230" s="6">
        <v>0</v>
      </c>
      <c r="L230" s="5"/>
    </row>
    <row r="231" spans="3:12" x14ac:dyDescent="0.25">
      <c r="C231" s="226"/>
      <c r="D231" s="197" t="s">
        <v>37</v>
      </c>
      <c r="E231" s="99" t="s">
        <v>172</v>
      </c>
      <c r="F231" s="6">
        <v>0</v>
      </c>
      <c r="G231" s="200">
        <v>55000</v>
      </c>
      <c r="H231" s="6">
        <v>0</v>
      </c>
      <c r="I231" s="6">
        <v>0</v>
      </c>
      <c r="J231" s="6"/>
      <c r="K231" s="6">
        <v>0</v>
      </c>
      <c r="L231" s="5"/>
    </row>
    <row r="232" spans="3:12" x14ac:dyDescent="0.25">
      <c r="C232" s="226"/>
      <c r="D232" s="197" t="s">
        <v>145</v>
      </c>
      <c r="E232" s="99" t="s">
        <v>172</v>
      </c>
      <c r="F232" s="6">
        <v>0</v>
      </c>
      <c r="G232" s="200">
        <v>55000</v>
      </c>
      <c r="H232" s="6">
        <v>0</v>
      </c>
      <c r="I232" s="6">
        <v>0</v>
      </c>
      <c r="J232" s="6"/>
      <c r="K232" s="6">
        <v>0</v>
      </c>
      <c r="L232" s="5"/>
    </row>
    <row r="233" spans="3:12" x14ac:dyDescent="0.25">
      <c r="C233" s="226"/>
      <c r="D233" s="197"/>
      <c r="E233" s="99"/>
      <c r="F233" s="6">
        <v>0</v>
      </c>
      <c r="G233" s="6">
        <v>0</v>
      </c>
      <c r="H233" s="6">
        <v>0</v>
      </c>
      <c r="I233" s="6">
        <v>0</v>
      </c>
      <c r="J233" s="6"/>
      <c r="K233" s="6">
        <v>0</v>
      </c>
      <c r="L233" s="5"/>
    </row>
    <row r="234" spans="3:12" x14ac:dyDescent="0.25">
      <c r="C234" s="226"/>
      <c r="D234" s="197"/>
      <c r="E234" s="15"/>
      <c r="F234" s="6">
        <v>0</v>
      </c>
      <c r="G234" s="6">
        <v>0</v>
      </c>
      <c r="H234" s="6">
        <v>0</v>
      </c>
      <c r="I234" s="6">
        <v>0</v>
      </c>
      <c r="J234" s="6"/>
      <c r="K234" s="6">
        <v>0</v>
      </c>
      <c r="L234" s="5"/>
    </row>
    <row r="235" spans="3:12" x14ac:dyDescent="0.25">
      <c r="C235" s="226"/>
      <c r="D235" s="197"/>
      <c r="E235" s="99"/>
      <c r="F235" s="6">
        <v>0</v>
      </c>
      <c r="G235" s="6">
        <v>0</v>
      </c>
      <c r="H235" s="6">
        <v>0</v>
      </c>
      <c r="I235" s="6">
        <v>0</v>
      </c>
      <c r="J235" s="6"/>
      <c r="K235" s="6">
        <v>0</v>
      </c>
      <c r="L235" s="5"/>
    </row>
    <row r="236" spans="3:12" x14ac:dyDescent="0.25">
      <c r="C236" s="226"/>
      <c r="D236" s="197"/>
      <c r="E236" s="99"/>
      <c r="F236" s="6">
        <v>0</v>
      </c>
      <c r="G236" s="6">
        <v>0</v>
      </c>
      <c r="H236" s="6">
        <v>0</v>
      </c>
      <c r="I236" s="6">
        <v>0</v>
      </c>
      <c r="J236" s="6"/>
      <c r="K236" s="6">
        <v>0</v>
      </c>
      <c r="L236" s="5"/>
    </row>
    <row r="237" spans="3:12" x14ac:dyDescent="0.25">
      <c r="C237" s="226"/>
      <c r="D237" s="197"/>
      <c r="E237" s="99"/>
      <c r="F237" s="6">
        <v>0</v>
      </c>
      <c r="G237" s="6">
        <v>0</v>
      </c>
      <c r="H237" s="6">
        <v>0</v>
      </c>
      <c r="I237" s="6">
        <v>0</v>
      </c>
      <c r="J237" s="6"/>
      <c r="K237" s="6">
        <v>0</v>
      </c>
      <c r="L237" s="5"/>
    </row>
    <row r="238" spans="3:12" x14ac:dyDescent="0.25">
      <c r="C238" s="226"/>
      <c r="D238" s="197"/>
      <c r="E238" s="99"/>
      <c r="F238" s="6">
        <v>0</v>
      </c>
      <c r="G238" s="6">
        <v>0</v>
      </c>
      <c r="H238" s="6">
        <v>0</v>
      </c>
      <c r="I238" s="6">
        <v>0</v>
      </c>
      <c r="J238" s="6"/>
      <c r="K238" s="6">
        <v>0</v>
      </c>
      <c r="L238" s="5"/>
    </row>
    <row r="239" spans="3:12" x14ac:dyDescent="0.25">
      <c r="C239" s="226"/>
      <c r="D239" s="197"/>
      <c r="E239" s="99"/>
      <c r="F239" s="6">
        <v>0</v>
      </c>
      <c r="G239" s="6">
        <v>0</v>
      </c>
      <c r="H239" s="6">
        <v>0</v>
      </c>
      <c r="I239" s="6">
        <v>0</v>
      </c>
      <c r="J239" s="6"/>
      <c r="K239" s="6">
        <v>0</v>
      </c>
      <c r="L239" s="5"/>
    </row>
    <row r="240" spans="3:12" x14ac:dyDescent="0.25">
      <c r="C240" s="226"/>
      <c r="D240" s="197"/>
      <c r="E240" s="99"/>
      <c r="F240" s="6">
        <v>0</v>
      </c>
      <c r="G240" s="6">
        <v>0</v>
      </c>
      <c r="H240" s="6">
        <v>0</v>
      </c>
      <c r="I240" s="6">
        <v>0</v>
      </c>
      <c r="J240" s="6"/>
      <c r="K240" s="6">
        <v>0</v>
      </c>
      <c r="L240" s="213">
        <f>SUM(F225:F226)+G227</f>
        <v>82290</v>
      </c>
    </row>
    <row r="241" spans="3:12" x14ac:dyDescent="0.25">
      <c r="C241" s="226"/>
      <c r="D241" s="197"/>
      <c r="E241" s="99"/>
      <c r="F241" s="6">
        <v>0</v>
      </c>
      <c r="G241" s="6">
        <v>0</v>
      </c>
      <c r="H241" s="6">
        <v>0</v>
      </c>
      <c r="I241" s="6">
        <v>0</v>
      </c>
      <c r="J241" s="6"/>
      <c r="K241" s="6">
        <v>0</v>
      </c>
      <c r="L241" s="201">
        <f>SUM(F228+F229+F230+G231+G232)</f>
        <v>228120</v>
      </c>
    </row>
    <row r="242" spans="3:12" x14ac:dyDescent="0.25">
      <c r="C242" s="101"/>
      <c r="D242" s="117"/>
      <c r="E242" s="102" t="s">
        <v>27</v>
      </c>
      <c r="F242" s="33">
        <f>SUM(F225:F241)</f>
        <v>145410</v>
      </c>
      <c r="G242" s="33">
        <f>SUM(G225:G241)</f>
        <v>165000</v>
      </c>
      <c r="H242" s="33">
        <f>SUM(H225:H241)</f>
        <v>0</v>
      </c>
      <c r="I242" s="33">
        <f>SUM(I225:I241)</f>
        <v>0</v>
      </c>
      <c r="J242" s="33">
        <f>SUM(J225:J241)</f>
        <v>0</v>
      </c>
      <c r="K242" s="33">
        <f>SUM(F242:J242)-J242</f>
        <v>310410</v>
      </c>
      <c r="L242" s="16"/>
    </row>
    <row r="243" spans="3:12" x14ac:dyDescent="0.25">
      <c r="C243" s="225">
        <v>14</v>
      </c>
      <c r="D243" s="197" t="s">
        <v>34</v>
      </c>
      <c r="E243" s="15" t="s">
        <v>168</v>
      </c>
      <c r="F243" s="199">
        <v>10000</v>
      </c>
      <c r="G243" s="6">
        <v>0</v>
      </c>
      <c r="H243" s="6">
        <v>0</v>
      </c>
      <c r="I243" s="6">
        <v>0</v>
      </c>
      <c r="J243" s="6"/>
      <c r="K243" s="6">
        <v>0</v>
      </c>
      <c r="L243" s="5"/>
    </row>
    <row r="244" spans="3:12" x14ac:dyDescent="0.25">
      <c r="C244" s="226"/>
      <c r="D244" s="197" t="s">
        <v>119</v>
      </c>
      <c r="E244" s="99" t="s">
        <v>168</v>
      </c>
      <c r="F244" s="199">
        <v>33719</v>
      </c>
      <c r="G244" s="6">
        <v>0</v>
      </c>
      <c r="H244" s="6">
        <v>0</v>
      </c>
      <c r="I244" s="6">
        <v>0</v>
      </c>
      <c r="J244" s="6"/>
      <c r="K244" s="6">
        <v>0</v>
      </c>
      <c r="L244" s="5"/>
    </row>
    <row r="245" spans="3:12" x14ac:dyDescent="0.25">
      <c r="C245" s="226"/>
      <c r="D245" s="197" t="s">
        <v>24</v>
      </c>
      <c r="E245" s="99" t="s">
        <v>168</v>
      </c>
      <c r="F245" s="199">
        <v>291892</v>
      </c>
      <c r="G245" s="6">
        <v>0</v>
      </c>
      <c r="H245" s="6">
        <v>0</v>
      </c>
      <c r="I245" s="6">
        <v>0</v>
      </c>
      <c r="J245" s="6"/>
      <c r="K245" s="6">
        <v>0</v>
      </c>
      <c r="L245" s="5"/>
    </row>
    <row r="246" spans="3:12" x14ac:dyDescent="0.25">
      <c r="C246" s="226"/>
      <c r="D246" s="197" t="s">
        <v>22</v>
      </c>
      <c r="E246" s="99" t="s">
        <v>168</v>
      </c>
      <c r="F246" s="199">
        <v>152900</v>
      </c>
      <c r="G246" s="6">
        <v>0</v>
      </c>
      <c r="H246" s="6">
        <v>0</v>
      </c>
      <c r="I246" s="6">
        <v>0</v>
      </c>
      <c r="J246" s="6"/>
      <c r="K246" s="6">
        <v>0</v>
      </c>
      <c r="L246" s="5"/>
    </row>
    <row r="247" spans="3:12" x14ac:dyDescent="0.25">
      <c r="C247" s="226"/>
      <c r="D247" s="197" t="s">
        <v>37</v>
      </c>
      <c r="E247" s="99" t="s">
        <v>169</v>
      </c>
      <c r="F247" s="6">
        <v>0</v>
      </c>
      <c r="G247" s="199">
        <v>55000</v>
      </c>
      <c r="H247" s="6">
        <v>0</v>
      </c>
      <c r="I247" s="6">
        <v>0</v>
      </c>
      <c r="J247" s="6"/>
      <c r="K247" s="6">
        <v>0</v>
      </c>
      <c r="L247" s="5"/>
    </row>
    <row r="248" spans="3:12" x14ac:dyDescent="0.25">
      <c r="C248" s="226"/>
      <c r="D248" s="197" t="s">
        <v>19</v>
      </c>
      <c r="E248" s="99" t="s">
        <v>168</v>
      </c>
      <c r="F248" s="200">
        <v>12357</v>
      </c>
      <c r="G248" s="6">
        <v>0</v>
      </c>
      <c r="H248" s="6">
        <v>0</v>
      </c>
      <c r="I248" s="6">
        <v>0</v>
      </c>
      <c r="J248" s="6"/>
      <c r="K248" s="6">
        <v>0</v>
      </c>
      <c r="L248" s="5"/>
    </row>
    <row r="249" spans="3:12" x14ac:dyDescent="0.25">
      <c r="C249" s="226"/>
      <c r="D249" s="197" t="s">
        <v>18</v>
      </c>
      <c r="E249" s="99" t="s">
        <v>168</v>
      </c>
      <c r="F249" s="200">
        <v>5950</v>
      </c>
      <c r="G249" s="6">
        <v>0</v>
      </c>
      <c r="H249" s="6">
        <v>0</v>
      </c>
      <c r="I249" s="6">
        <v>0</v>
      </c>
      <c r="J249" s="6"/>
      <c r="K249" s="6">
        <v>0</v>
      </c>
      <c r="L249" s="5"/>
    </row>
    <row r="250" spans="3:12" x14ac:dyDescent="0.25">
      <c r="C250" s="226"/>
      <c r="D250" s="197" t="s">
        <v>40</v>
      </c>
      <c r="E250" s="99" t="s">
        <v>168</v>
      </c>
      <c r="F250" s="200">
        <v>10990</v>
      </c>
      <c r="G250" s="6">
        <v>0</v>
      </c>
      <c r="H250" s="6">
        <v>0</v>
      </c>
      <c r="I250" s="6">
        <v>0</v>
      </c>
      <c r="J250" s="6"/>
      <c r="K250" s="6">
        <v>0</v>
      </c>
      <c r="L250" s="5"/>
    </row>
    <row r="251" spans="3:12" x14ac:dyDescent="0.25">
      <c r="C251" s="226"/>
      <c r="D251" s="197" t="s">
        <v>139</v>
      </c>
      <c r="E251" s="99" t="s">
        <v>168</v>
      </c>
      <c r="F251" s="200">
        <v>10000</v>
      </c>
      <c r="G251" s="6">
        <v>0</v>
      </c>
      <c r="H251" s="6">
        <v>0</v>
      </c>
      <c r="I251" s="6">
        <v>0</v>
      </c>
      <c r="J251" s="6"/>
      <c r="K251" s="6">
        <v>0</v>
      </c>
      <c r="L251" s="5"/>
    </row>
    <row r="252" spans="3:12" x14ac:dyDescent="0.25">
      <c r="C252" s="226"/>
      <c r="D252" s="99" t="s">
        <v>187</v>
      </c>
      <c r="E252" s="99" t="s">
        <v>168</v>
      </c>
      <c r="F252" s="214">
        <v>35000</v>
      </c>
      <c r="G252" s="6">
        <v>0</v>
      </c>
      <c r="H252" s="6">
        <v>0</v>
      </c>
      <c r="I252" s="6">
        <v>0</v>
      </c>
      <c r="J252" s="6"/>
      <c r="K252" s="6">
        <v>0</v>
      </c>
      <c r="L252" s="5"/>
    </row>
    <row r="253" spans="3:12" x14ac:dyDescent="0.25">
      <c r="C253" s="226"/>
      <c r="D253" s="197" t="s">
        <v>148</v>
      </c>
      <c r="E253" s="99" t="s">
        <v>168</v>
      </c>
      <c r="F253" s="214">
        <v>133200</v>
      </c>
      <c r="G253" s="6">
        <v>0</v>
      </c>
      <c r="H253" s="6">
        <v>0</v>
      </c>
      <c r="I253" s="6">
        <v>0</v>
      </c>
      <c r="J253" s="6"/>
      <c r="K253" s="6">
        <v>0</v>
      </c>
      <c r="L253" s="5"/>
    </row>
    <row r="254" spans="3:12" x14ac:dyDescent="0.25">
      <c r="C254" s="226"/>
      <c r="D254" s="197" t="s">
        <v>154</v>
      </c>
      <c r="E254" s="99" t="s">
        <v>172</v>
      </c>
      <c r="F254" s="6">
        <v>0</v>
      </c>
      <c r="G254" s="214">
        <v>50000</v>
      </c>
      <c r="H254" s="6">
        <v>0</v>
      </c>
      <c r="I254" s="6">
        <v>0</v>
      </c>
      <c r="J254" s="6"/>
      <c r="K254" s="6">
        <v>0</v>
      </c>
      <c r="L254" s="5"/>
    </row>
    <row r="255" spans="3:12" x14ac:dyDescent="0.25">
      <c r="C255" s="226"/>
      <c r="D255" s="197" t="s">
        <v>145</v>
      </c>
      <c r="E255" s="99" t="s">
        <v>172</v>
      </c>
      <c r="F255" s="6">
        <v>0</v>
      </c>
      <c r="G255" s="214">
        <v>50000</v>
      </c>
      <c r="H255" s="6">
        <v>0</v>
      </c>
      <c r="I255" s="6">
        <v>0</v>
      </c>
      <c r="J255" s="6"/>
      <c r="K255" s="6">
        <v>0</v>
      </c>
      <c r="L255" s="5"/>
    </row>
    <row r="256" spans="3:12" x14ac:dyDescent="0.25">
      <c r="C256" s="226"/>
      <c r="D256" s="99" t="s">
        <v>193</v>
      </c>
      <c r="E256" s="99" t="s">
        <v>193</v>
      </c>
      <c r="F256" s="6">
        <v>0</v>
      </c>
      <c r="H256" s="6">
        <v>0</v>
      </c>
      <c r="I256" s="214">
        <v>21000</v>
      </c>
      <c r="J256" s="6"/>
      <c r="K256" s="6">
        <v>0</v>
      </c>
      <c r="L256" s="5"/>
    </row>
    <row r="257" spans="3:12" x14ac:dyDescent="0.25">
      <c r="C257" s="226"/>
      <c r="D257" s="197" t="s">
        <v>154</v>
      </c>
      <c r="E257" s="99" t="s">
        <v>184</v>
      </c>
      <c r="F257" s="6">
        <v>0</v>
      </c>
      <c r="G257" s="219">
        <v>4000</v>
      </c>
      <c r="H257" s="6">
        <v>0</v>
      </c>
      <c r="I257" s="6">
        <v>0</v>
      </c>
      <c r="J257" s="6"/>
      <c r="K257" s="6">
        <v>0</v>
      </c>
      <c r="L257" s="198">
        <f>SUM(F243:G247)</f>
        <v>543511</v>
      </c>
    </row>
    <row r="258" spans="3:12" x14ac:dyDescent="0.25">
      <c r="C258" s="226"/>
      <c r="D258" s="197"/>
      <c r="E258" s="99"/>
      <c r="F258" s="6">
        <v>0</v>
      </c>
      <c r="G258" s="6">
        <v>0</v>
      </c>
      <c r="H258" s="6">
        <v>0</v>
      </c>
      <c r="I258" s="6">
        <v>0</v>
      </c>
      <c r="J258" s="6"/>
      <c r="K258" s="6">
        <v>0</v>
      </c>
      <c r="L258" s="201">
        <f>SUM(F248+F249+F250+F251)</f>
        <v>39297</v>
      </c>
    </row>
    <row r="259" spans="3:12" x14ac:dyDescent="0.25">
      <c r="C259" s="226"/>
      <c r="D259" s="197"/>
      <c r="E259" s="99"/>
      <c r="F259" s="6">
        <v>0</v>
      </c>
      <c r="G259" s="6">
        <v>0</v>
      </c>
      <c r="H259" s="6">
        <v>0</v>
      </c>
      <c r="I259" s="6">
        <v>0</v>
      </c>
      <c r="J259" s="6"/>
      <c r="K259" s="6">
        <v>0</v>
      </c>
      <c r="L259" s="217">
        <f>SUM(F252+F253+G254+G255+I256)</f>
        <v>289200</v>
      </c>
    </row>
    <row r="260" spans="3:12" x14ac:dyDescent="0.25">
      <c r="C260" s="226"/>
      <c r="D260" s="197"/>
      <c r="E260" s="99"/>
      <c r="F260" s="6">
        <v>0</v>
      </c>
      <c r="G260" s="6">
        <v>0</v>
      </c>
      <c r="H260" s="6">
        <v>0</v>
      </c>
      <c r="I260" s="6">
        <v>0</v>
      </c>
      <c r="J260" s="6"/>
      <c r="K260" s="6">
        <v>0</v>
      </c>
      <c r="L260" s="5"/>
    </row>
    <row r="261" spans="3:12" x14ac:dyDescent="0.25">
      <c r="C261" s="101"/>
      <c r="D261" s="117"/>
      <c r="E261" s="102" t="s">
        <v>27</v>
      </c>
      <c r="F261" s="33">
        <f>SUM(F243:F260)</f>
        <v>696008</v>
      </c>
      <c r="G261" s="33">
        <f>SUM(G243:G260)</f>
        <v>159000</v>
      </c>
      <c r="H261" s="33">
        <f>SUM(H243:H260)</f>
        <v>0</v>
      </c>
      <c r="I261" s="33">
        <f>SUM(I243:I260)</f>
        <v>21000</v>
      </c>
      <c r="J261" s="33">
        <f>SUM(J243:J260)</f>
        <v>0</v>
      </c>
      <c r="K261" s="33">
        <f>SUM(F261:J261)-J261</f>
        <v>876008</v>
      </c>
      <c r="L261" s="16"/>
    </row>
    <row r="262" spans="3:12" x14ac:dyDescent="0.25">
      <c r="C262" s="225">
        <v>15</v>
      </c>
      <c r="D262" s="197" t="s">
        <v>148</v>
      </c>
      <c r="E262" s="15" t="s">
        <v>168</v>
      </c>
      <c r="F262" s="199">
        <v>59900</v>
      </c>
      <c r="G262" s="6">
        <v>0</v>
      </c>
      <c r="H262" s="6">
        <v>0</v>
      </c>
      <c r="I262" s="6">
        <v>0</v>
      </c>
      <c r="J262" s="6"/>
      <c r="K262" s="6">
        <v>0</v>
      </c>
      <c r="L262" s="5"/>
    </row>
    <row r="263" spans="3:12" x14ac:dyDescent="0.25">
      <c r="C263" s="226"/>
      <c r="D263" s="197" t="s">
        <v>20</v>
      </c>
      <c r="E263" s="99" t="s">
        <v>168</v>
      </c>
      <c r="F263" s="199">
        <v>36767</v>
      </c>
      <c r="G263" s="6">
        <v>0</v>
      </c>
      <c r="H263" s="6">
        <v>0</v>
      </c>
      <c r="I263" s="6">
        <v>0</v>
      </c>
      <c r="J263" s="6"/>
      <c r="K263" s="6">
        <v>0</v>
      </c>
      <c r="L263" s="5"/>
    </row>
    <row r="264" spans="3:12" x14ac:dyDescent="0.25">
      <c r="C264" s="226"/>
      <c r="D264" s="197" t="s">
        <v>40</v>
      </c>
      <c r="E264" s="99" t="s">
        <v>168</v>
      </c>
      <c r="F264" s="199">
        <v>6960</v>
      </c>
      <c r="G264" s="6">
        <v>0</v>
      </c>
      <c r="H264" s="6">
        <v>0</v>
      </c>
      <c r="I264" s="6">
        <v>0</v>
      </c>
      <c r="J264" s="6"/>
      <c r="K264" s="6">
        <v>0</v>
      </c>
      <c r="L264" s="5"/>
    </row>
    <row r="265" spans="3:12" x14ac:dyDescent="0.25">
      <c r="C265" s="226"/>
      <c r="D265" s="197" t="s">
        <v>37</v>
      </c>
      <c r="E265" s="99" t="s">
        <v>169</v>
      </c>
      <c r="F265" s="6">
        <v>0</v>
      </c>
      <c r="G265" s="199">
        <v>55000</v>
      </c>
      <c r="H265" s="6">
        <v>0</v>
      </c>
      <c r="I265" s="6">
        <v>0</v>
      </c>
      <c r="J265" s="6"/>
      <c r="K265" s="6">
        <v>0</v>
      </c>
      <c r="L265" s="5"/>
    </row>
    <row r="266" spans="3:12" x14ac:dyDescent="0.25">
      <c r="C266" s="226"/>
      <c r="D266" s="197" t="s">
        <v>119</v>
      </c>
      <c r="E266" s="99" t="s">
        <v>168</v>
      </c>
      <c r="F266" s="204">
        <v>66300</v>
      </c>
      <c r="G266" s="6">
        <v>0</v>
      </c>
      <c r="H266" s="6">
        <v>0</v>
      </c>
      <c r="I266" s="6">
        <v>0</v>
      </c>
      <c r="J266" s="6"/>
      <c r="K266" s="6">
        <v>0</v>
      </c>
      <c r="L266" s="5"/>
    </row>
    <row r="267" spans="3:12" x14ac:dyDescent="0.25">
      <c r="C267" s="226"/>
      <c r="D267" s="197" t="s">
        <v>19</v>
      </c>
      <c r="E267" s="99" t="s">
        <v>168</v>
      </c>
      <c r="F267" s="204">
        <v>23100</v>
      </c>
      <c r="G267" s="6">
        <v>0</v>
      </c>
      <c r="H267" s="6">
        <v>0</v>
      </c>
      <c r="I267" s="6">
        <v>0</v>
      </c>
      <c r="J267" s="6"/>
      <c r="K267" s="6">
        <v>0</v>
      </c>
      <c r="L267" s="5"/>
    </row>
    <row r="268" spans="3:12" x14ac:dyDescent="0.25">
      <c r="C268" s="226"/>
      <c r="D268" s="197" t="s">
        <v>18</v>
      </c>
      <c r="E268" s="99" t="s">
        <v>168</v>
      </c>
      <c r="F268" s="204">
        <v>10800</v>
      </c>
      <c r="G268" s="6">
        <v>0</v>
      </c>
      <c r="H268" s="6">
        <v>0</v>
      </c>
      <c r="I268" s="6">
        <v>0</v>
      </c>
      <c r="J268" s="6"/>
      <c r="K268" s="6">
        <v>0</v>
      </c>
      <c r="L268" s="5"/>
    </row>
    <row r="269" spans="3:12" x14ac:dyDescent="0.25">
      <c r="C269" s="226"/>
      <c r="D269" s="197" t="s">
        <v>40</v>
      </c>
      <c r="E269" s="99" t="s">
        <v>168</v>
      </c>
      <c r="F269" s="204">
        <v>21500</v>
      </c>
      <c r="G269" s="6">
        <v>0</v>
      </c>
      <c r="H269" s="6">
        <v>0</v>
      </c>
      <c r="I269" s="6">
        <v>0</v>
      </c>
      <c r="J269" s="6"/>
      <c r="K269" s="6">
        <v>0</v>
      </c>
      <c r="L269" s="5"/>
    </row>
    <row r="270" spans="3:12" x14ac:dyDescent="0.25">
      <c r="C270" s="226"/>
      <c r="D270" s="197" t="s">
        <v>154</v>
      </c>
      <c r="E270" s="99" t="s">
        <v>172</v>
      </c>
      <c r="F270" s="6"/>
      <c r="G270" s="204">
        <v>55000</v>
      </c>
      <c r="H270" s="6">
        <v>0</v>
      </c>
      <c r="I270" s="6">
        <v>0</v>
      </c>
      <c r="J270" s="6"/>
      <c r="K270" s="6">
        <v>0</v>
      </c>
      <c r="L270" s="5"/>
    </row>
    <row r="271" spans="3:12" x14ac:dyDescent="0.25">
      <c r="C271" s="226"/>
      <c r="D271" s="197" t="s">
        <v>44</v>
      </c>
      <c r="E271" s="99" t="s">
        <v>172</v>
      </c>
      <c r="F271" s="6">
        <v>0</v>
      </c>
      <c r="G271" s="204">
        <v>55000</v>
      </c>
      <c r="H271" s="6">
        <v>0</v>
      </c>
      <c r="I271" s="6">
        <v>0</v>
      </c>
      <c r="J271" s="6"/>
      <c r="K271" s="6">
        <v>0</v>
      </c>
      <c r="L271" s="5"/>
    </row>
    <row r="272" spans="3:12" x14ac:dyDescent="0.25">
      <c r="C272" s="226"/>
      <c r="D272" s="99" t="s">
        <v>170</v>
      </c>
      <c r="E272" s="99" t="s">
        <v>195</v>
      </c>
      <c r="F272" s="6"/>
      <c r="G272" s="6">
        <v>0</v>
      </c>
      <c r="H272" s="6">
        <v>0</v>
      </c>
      <c r="I272" s="204">
        <v>10000</v>
      </c>
      <c r="J272" s="6"/>
      <c r="K272" s="6">
        <v>0</v>
      </c>
      <c r="L272" s="5"/>
    </row>
    <row r="273" spans="3:12" x14ac:dyDescent="0.25">
      <c r="C273" s="226"/>
      <c r="D273" s="197" t="s">
        <v>127</v>
      </c>
      <c r="E273" s="99" t="s">
        <v>196</v>
      </c>
      <c r="F273" s="204">
        <v>30000</v>
      </c>
      <c r="G273" s="6">
        <v>0</v>
      </c>
      <c r="H273" s="6">
        <v>0</v>
      </c>
      <c r="I273" s="6">
        <v>0</v>
      </c>
      <c r="J273" s="6"/>
      <c r="K273" s="6">
        <v>0</v>
      </c>
      <c r="L273" s="5"/>
    </row>
    <row r="274" spans="3:12" x14ac:dyDescent="0.25">
      <c r="C274" s="226"/>
      <c r="D274" s="197"/>
      <c r="E274" s="99"/>
      <c r="F274" s="6">
        <v>0</v>
      </c>
      <c r="G274" s="6">
        <v>0</v>
      </c>
      <c r="H274" s="6">
        <v>0</v>
      </c>
      <c r="I274" s="6">
        <v>0</v>
      </c>
      <c r="J274" s="6"/>
      <c r="K274" s="6">
        <v>0</v>
      </c>
      <c r="L274" s="5"/>
    </row>
    <row r="275" spans="3:12" x14ac:dyDescent="0.25">
      <c r="C275" s="226"/>
      <c r="D275" s="197"/>
      <c r="E275" s="99"/>
      <c r="F275" s="6">
        <v>0</v>
      </c>
      <c r="G275" s="6">
        <v>0</v>
      </c>
      <c r="H275" s="6">
        <v>0</v>
      </c>
      <c r="I275" s="6">
        <v>0</v>
      </c>
      <c r="J275" s="6"/>
      <c r="K275" s="6">
        <v>0</v>
      </c>
      <c r="L275" s="5"/>
    </row>
    <row r="276" spans="3:12" x14ac:dyDescent="0.25">
      <c r="C276" s="226"/>
      <c r="D276" s="197"/>
      <c r="E276" s="99"/>
      <c r="F276" s="6">
        <v>0</v>
      </c>
      <c r="G276" s="6">
        <v>0</v>
      </c>
      <c r="H276" s="6">
        <v>0</v>
      </c>
      <c r="I276" s="6">
        <v>0</v>
      </c>
      <c r="J276" s="6"/>
      <c r="K276" s="6">
        <v>0</v>
      </c>
      <c r="L276" s="5"/>
    </row>
    <row r="277" spans="3:12" x14ac:dyDescent="0.25">
      <c r="C277" s="226"/>
      <c r="D277" s="197"/>
      <c r="E277" s="99"/>
      <c r="F277" s="6">
        <v>0</v>
      </c>
      <c r="G277" s="6">
        <v>0</v>
      </c>
      <c r="H277" s="6">
        <v>0</v>
      </c>
      <c r="I277" s="6">
        <v>0</v>
      </c>
      <c r="J277" s="6"/>
      <c r="K277" s="6">
        <v>0</v>
      </c>
      <c r="L277" s="198">
        <f>SUM(F262:G265)</f>
        <v>158627</v>
      </c>
    </row>
    <row r="278" spans="3:12" x14ac:dyDescent="0.25">
      <c r="C278" s="226"/>
      <c r="D278" s="197"/>
      <c r="E278" s="99"/>
      <c r="F278" s="6">
        <v>0</v>
      </c>
      <c r="G278" s="6">
        <v>0</v>
      </c>
      <c r="H278" s="6">
        <v>0</v>
      </c>
      <c r="I278" s="6">
        <v>0</v>
      </c>
      <c r="J278" s="6"/>
      <c r="K278" s="6">
        <v>0</v>
      </c>
      <c r="L278" s="203">
        <f>SUM(+F266+F267+F268+F269+G270+G271+I272+F273)</f>
        <v>271700</v>
      </c>
    </row>
    <row r="279" spans="3:12" x14ac:dyDescent="0.25">
      <c r="C279" s="226"/>
      <c r="D279" s="197"/>
      <c r="E279" s="99"/>
      <c r="F279" s="6">
        <v>0</v>
      </c>
      <c r="G279" s="6">
        <v>0</v>
      </c>
      <c r="H279" s="6">
        <v>0</v>
      </c>
      <c r="I279" s="6">
        <v>0</v>
      </c>
      <c r="J279" s="6"/>
      <c r="K279" s="6">
        <v>0</v>
      </c>
      <c r="L279" s="108">
        <f>L277+L278</f>
        <v>430327</v>
      </c>
    </row>
    <row r="280" spans="3:12" x14ac:dyDescent="0.25">
      <c r="C280" s="101"/>
      <c r="D280" s="117"/>
      <c r="E280" s="102" t="s">
        <v>27</v>
      </c>
      <c r="F280" s="33">
        <f>SUM(F262:F279)</f>
        <v>255327</v>
      </c>
      <c r="G280" s="33">
        <f>SUM(G262:G279)</f>
        <v>165000</v>
      </c>
      <c r="H280" s="33">
        <f>SUM(H262:H279)</f>
        <v>0</v>
      </c>
      <c r="I280" s="33">
        <f>SUM(I262:I279)</f>
        <v>10000</v>
      </c>
      <c r="J280" s="33">
        <f>SUM(J262:J279)</f>
        <v>0</v>
      </c>
      <c r="K280" s="33">
        <f>SUM(F280:J280)-J280</f>
        <v>430327</v>
      </c>
      <c r="L280" s="16"/>
    </row>
    <row r="281" spans="3:12" x14ac:dyDescent="0.25">
      <c r="C281" s="225">
        <v>16</v>
      </c>
      <c r="D281" s="197" t="s">
        <v>34</v>
      </c>
      <c r="E281" s="15" t="s">
        <v>168</v>
      </c>
      <c r="F281" s="199">
        <v>10000</v>
      </c>
      <c r="G281" s="6">
        <v>0</v>
      </c>
      <c r="H281" s="6">
        <v>0</v>
      </c>
      <c r="I281" s="6">
        <v>0</v>
      </c>
      <c r="J281" s="6"/>
      <c r="K281" s="6">
        <v>0</v>
      </c>
      <c r="L281" s="5"/>
    </row>
    <row r="282" spans="3:12" x14ac:dyDescent="0.25">
      <c r="C282" s="226"/>
      <c r="D282" s="99" t="s">
        <v>173</v>
      </c>
      <c r="E282" s="99" t="s">
        <v>173</v>
      </c>
      <c r="F282" s="6">
        <v>0</v>
      </c>
      <c r="G282" s="199">
        <v>10000</v>
      </c>
      <c r="H282" s="6">
        <v>0</v>
      </c>
      <c r="I282" s="6">
        <v>0</v>
      </c>
      <c r="J282" s="6"/>
      <c r="K282" s="6">
        <v>0</v>
      </c>
      <c r="L282" s="5"/>
    </row>
    <row r="283" spans="3:12" x14ac:dyDescent="0.25">
      <c r="C283" s="226"/>
      <c r="D283" s="197" t="s">
        <v>127</v>
      </c>
      <c r="E283" s="99" t="s">
        <v>168</v>
      </c>
      <c r="F283" s="199">
        <v>56500</v>
      </c>
      <c r="G283" s="6">
        <v>0</v>
      </c>
      <c r="H283" s="6">
        <v>0</v>
      </c>
      <c r="I283" s="6">
        <v>0</v>
      </c>
      <c r="J283" s="6"/>
      <c r="K283" s="6">
        <v>0</v>
      </c>
      <c r="L283" s="5"/>
    </row>
    <row r="284" spans="3:12" x14ac:dyDescent="0.25">
      <c r="C284" s="226"/>
      <c r="D284" s="197" t="s">
        <v>44</v>
      </c>
      <c r="E284" s="99" t="s">
        <v>169</v>
      </c>
      <c r="F284" s="6">
        <v>0</v>
      </c>
      <c r="G284" s="199">
        <v>60000</v>
      </c>
      <c r="H284" s="6">
        <v>0</v>
      </c>
      <c r="I284" s="6">
        <v>0</v>
      </c>
      <c r="J284" s="6"/>
      <c r="K284" s="6">
        <v>0</v>
      </c>
      <c r="L284" s="5"/>
    </row>
    <row r="285" spans="3:12" x14ac:dyDescent="0.25">
      <c r="C285" s="226"/>
      <c r="D285" s="197" t="s">
        <v>19</v>
      </c>
      <c r="E285" s="15" t="s">
        <v>168</v>
      </c>
      <c r="F285" s="200">
        <v>64895</v>
      </c>
      <c r="G285" s="6">
        <v>0</v>
      </c>
      <c r="H285" s="6">
        <v>0</v>
      </c>
      <c r="I285" s="6">
        <v>0</v>
      </c>
      <c r="J285" s="6"/>
      <c r="K285" s="6">
        <v>0</v>
      </c>
      <c r="L285" s="5"/>
    </row>
    <row r="286" spans="3:12" x14ac:dyDescent="0.25">
      <c r="C286" s="226"/>
      <c r="D286" s="197" t="s">
        <v>18</v>
      </c>
      <c r="E286" s="15" t="s">
        <v>168</v>
      </c>
      <c r="F286" s="200">
        <v>10850</v>
      </c>
      <c r="G286" s="6">
        <v>0</v>
      </c>
      <c r="H286" s="6">
        <v>0</v>
      </c>
      <c r="I286" s="6">
        <v>0</v>
      </c>
      <c r="J286" s="6"/>
      <c r="K286" s="6">
        <v>0</v>
      </c>
      <c r="L286" s="5"/>
    </row>
    <row r="287" spans="3:12" x14ac:dyDescent="0.25">
      <c r="C287" s="226"/>
      <c r="D287" s="197" t="s">
        <v>37</v>
      </c>
      <c r="E287" s="99" t="s">
        <v>172</v>
      </c>
      <c r="F287" s="6">
        <v>0</v>
      </c>
      <c r="G287" s="200">
        <v>75000</v>
      </c>
      <c r="H287" s="6">
        <v>0</v>
      </c>
      <c r="I287" s="6">
        <v>0</v>
      </c>
      <c r="J287" s="6"/>
      <c r="K287" s="6">
        <v>0</v>
      </c>
      <c r="L287" s="5"/>
    </row>
    <row r="288" spans="3:12" x14ac:dyDescent="0.25">
      <c r="C288" s="226"/>
      <c r="D288" s="197" t="s">
        <v>145</v>
      </c>
      <c r="E288" s="99" t="s">
        <v>172</v>
      </c>
      <c r="F288" s="6">
        <v>0</v>
      </c>
      <c r="G288" s="200">
        <v>75000</v>
      </c>
      <c r="H288" s="6">
        <v>0</v>
      </c>
      <c r="I288" s="6">
        <v>0</v>
      </c>
      <c r="J288" s="6"/>
      <c r="K288" s="6">
        <v>0</v>
      </c>
      <c r="L288" s="5"/>
    </row>
    <row r="289" spans="3:12" x14ac:dyDescent="0.25">
      <c r="C289" s="226"/>
      <c r="D289" s="197" t="s">
        <v>148</v>
      </c>
      <c r="E289" s="15" t="s">
        <v>168</v>
      </c>
      <c r="F289" s="200">
        <v>124300</v>
      </c>
      <c r="G289" s="6">
        <v>0</v>
      </c>
      <c r="H289" s="6">
        <v>0</v>
      </c>
      <c r="I289" s="6">
        <v>0</v>
      </c>
      <c r="J289" s="6"/>
      <c r="K289" s="6">
        <v>0</v>
      </c>
      <c r="L289" s="5"/>
    </row>
    <row r="290" spans="3:12" x14ac:dyDescent="0.25">
      <c r="C290" s="226"/>
      <c r="D290" s="197"/>
      <c r="E290" s="99"/>
      <c r="F290" s="6">
        <v>0</v>
      </c>
      <c r="G290" s="6">
        <v>0</v>
      </c>
      <c r="H290" s="6">
        <v>0</v>
      </c>
      <c r="I290" s="6">
        <v>0</v>
      </c>
      <c r="J290" s="6"/>
      <c r="K290" s="6">
        <v>0</v>
      </c>
      <c r="L290" s="5"/>
    </row>
    <row r="291" spans="3:12" x14ac:dyDescent="0.25">
      <c r="C291" s="226"/>
      <c r="D291" s="197"/>
      <c r="E291" s="99"/>
      <c r="F291" s="6">
        <v>0</v>
      </c>
      <c r="G291" s="6">
        <v>0</v>
      </c>
      <c r="H291" s="6">
        <v>0</v>
      </c>
      <c r="I291" s="6">
        <v>0</v>
      </c>
      <c r="J291" s="6"/>
      <c r="K291" s="6">
        <v>0</v>
      </c>
      <c r="L291" s="5"/>
    </row>
    <row r="292" spans="3:12" x14ac:dyDescent="0.25">
      <c r="C292" s="226"/>
      <c r="D292" s="197"/>
      <c r="E292" s="99"/>
      <c r="F292" s="6">
        <v>0</v>
      </c>
      <c r="G292" s="6">
        <v>0</v>
      </c>
      <c r="H292" s="6">
        <v>0</v>
      </c>
      <c r="I292" s="6">
        <v>0</v>
      </c>
      <c r="J292" s="6"/>
      <c r="K292" s="6">
        <v>0</v>
      </c>
      <c r="L292" s="5"/>
    </row>
    <row r="293" spans="3:12" x14ac:dyDescent="0.25">
      <c r="C293" s="226"/>
      <c r="D293" s="197"/>
      <c r="E293" s="99"/>
      <c r="F293" s="6">
        <v>0</v>
      </c>
      <c r="G293" s="6">
        <v>0</v>
      </c>
      <c r="H293" s="6">
        <v>0</v>
      </c>
      <c r="I293" s="6">
        <v>0</v>
      </c>
      <c r="J293" s="6"/>
      <c r="K293" s="6">
        <v>0</v>
      </c>
      <c r="L293" s="5"/>
    </row>
    <row r="294" spans="3:12" x14ac:dyDescent="0.25">
      <c r="C294" s="226"/>
      <c r="D294" s="197"/>
      <c r="E294" s="99"/>
      <c r="F294" s="6">
        <v>0</v>
      </c>
      <c r="G294" s="6">
        <v>0</v>
      </c>
      <c r="H294" s="6">
        <v>0</v>
      </c>
      <c r="I294" s="6">
        <v>0</v>
      </c>
      <c r="J294" s="6"/>
      <c r="K294" s="6">
        <v>0</v>
      </c>
      <c r="L294" s="5"/>
    </row>
    <row r="295" spans="3:12" x14ac:dyDescent="0.25">
      <c r="C295" s="226"/>
      <c r="D295" s="197"/>
      <c r="E295" s="99"/>
      <c r="F295" s="6">
        <v>0</v>
      </c>
      <c r="G295" s="6">
        <v>0</v>
      </c>
      <c r="H295" s="6">
        <v>0</v>
      </c>
      <c r="I295" s="6">
        <v>0</v>
      </c>
      <c r="J295" s="6"/>
      <c r="K295" s="6">
        <v>0</v>
      </c>
      <c r="L295" s="5"/>
    </row>
    <row r="296" spans="3:12" x14ac:dyDescent="0.25">
      <c r="C296" s="226"/>
      <c r="D296" s="197"/>
      <c r="E296" s="99"/>
      <c r="F296" s="6">
        <v>0</v>
      </c>
      <c r="G296" s="6">
        <v>0</v>
      </c>
      <c r="H296" s="6">
        <v>0</v>
      </c>
      <c r="I296" s="6">
        <v>0</v>
      </c>
      <c r="J296" s="6"/>
      <c r="K296" s="6">
        <v>0</v>
      </c>
      <c r="L296" s="198">
        <f>SUM(F281)+G282+F283+G284</f>
        <v>136500</v>
      </c>
    </row>
    <row r="297" spans="3:12" x14ac:dyDescent="0.25">
      <c r="C297" s="226"/>
      <c r="D297" s="197"/>
      <c r="E297" s="99"/>
      <c r="F297" s="6">
        <v>0</v>
      </c>
      <c r="G297" s="6">
        <v>0</v>
      </c>
      <c r="H297" s="6">
        <v>0</v>
      </c>
      <c r="I297" s="6">
        <v>0</v>
      </c>
      <c r="J297" s="6"/>
      <c r="K297" s="6">
        <v>0</v>
      </c>
      <c r="L297" s="201">
        <f>SUM(F285+F286+G287+G288+F289)</f>
        <v>350045</v>
      </c>
    </row>
    <row r="298" spans="3:12" x14ac:dyDescent="0.25">
      <c r="C298" s="101"/>
      <c r="D298" s="117"/>
      <c r="E298" s="102" t="s">
        <v>27</v>
      </c>
      <c r="F298" s="33">
        <f>SUM(F281:F297)</f>
        <v>266545</v>
      </c>
      <c r="G298" s="33">
        <f>SUM(G281:G297)</f>
        <v>220000</v>
      </c>
      <c r="H298" s="33">
        <f>SUM(H281:H297)</f>
        <v>0</v>
      </c>
      <c r="I298" s="33">
        <f>SUM(I281:I297)</f>
        <v>0</v>
      </c>
      <c r="J298" s="33">
        <f>SUM(J281:J297)</f>
        <v>0</v>
      </c>
      <c r="K298" s="33">
        <f>SUM(F298:J298)-J298</f>
        <v>486545</v>
      </c>
      <c r="L298" s="16"/>
    </row>
    <row r="299" spans="3:12" x14ac:dyDescent="0.25">
      <c r="C299" s="225">
        <v>17</v>
      </c>
      <c r="D299" s="197" t="s">
        <v>15</v>
      </c>
      <c r="E299" s="15" t="s">
        <v>168</v>
      </c>
      <c r="F299" s="211">
        <v>49400</v>
      </c>
      <c r="G299" s="6">
        <v>0</v>
      </c>
      <c r="H299" s="6">
        <v>0</v>
      </c>
      <c r="I299" s="6">
        <v>0</v>
      </c>
      <c r="J299" s="6"/>
      <c r="K299" s="6">
        <v>0</v>
      </c>
      <c r="L299" s="5"/>
    </row>
    <row r="300" spans="3:12" x14ac:dyDescent="0.25">
      <c r="C300" s="226"/>
      <c r="D300" s="197" t="s">
        <v>22</v>
      </c>
      <c r="E300" s="15" t="s">
        <v>168</v>
      </c>
      <c r="F300" s="211">
        <v>201500</v>
      </c>
      <c r="G300" s="6">
        <v>0</v>
      </c>
      <c r="H300" s="6">
        <v>0</v>
      </c>
      <c r="I300" s="6">
        <v>0</v>
      </c>
      <c r="J300" s="6"/>
      <c r="K300" s="6">
        <v>0</v>
      </c>
      <c r="L300" s="5"/>
    </row>
    <row r="301" spans="3:12" x14ac:dyDescent="0.25">
      <c r="C301" s="226"/>
      <c r="D301" s="197" t="s">
        <v>37</v>
      </c>
      <c r="E301" s="99" t="s">
        <v>169</v>
      </c>
      <c r="F301" s="6">
        <v>0</v>
      </c>
      <c r="G301" s="211">
        <v>75000</v>
      </c>
      <c r="H301" s="6">
        <v>0</v>
      </c>
      <c r="I301" s="6">
        <v>0</v>
      </c>
      <c r="J301" s="6"/>
      <c r="K301" s="6">
        <v>0</v>
      </c>
      <c r="L301" s="5"/>
    </row>
    <row r="302" spans="3:12" x14ac:dyDescent="0.25">
      <c r="C302" s="226"/>
      <c r="D302" s="197" t="s">
        <v>40</v>
      </c>
      <c r="E302" s="15" t="s">
        <v>168</v>
      </c>
      <c r="F302" s="211">
        <v>31280</v>
      </c>
      <c r="G302" s="6">
        <v>0</v>
      </c>
      <c r="H302" s="6">
        <v>0</v>
      </c>
      <c r="I302" s="6">
        <v>0</v>
      </c>
      <c r="J302" s="6"/>
      <c r="K302" s="6">
        <v>0</v>
      </c>
      <c r="L302" s="5"/>
    </row>
    <row r="303" spans="3:12" x14ac:dyDescent="0.25">
      <c r="C303" s="226"/>
      <c r="D303" s="197" t="s">
        <v>34</v>
      </c>
      <c r="E303" s="15" t="s">
        <v>168</v>
      </c>
      <c r="F303" s="211">
        <v>20000</v>
      </c>
      <c r="G303" s="6">
        <v>0</v>
      </c>
      <c r="H303" s="6">
        <v>0</v>
      </c>
      <c r="I303" s="6">
        <v>0</v>
      </c>
      <c r="J303" s="6"/>
      <c r="K303" s="6">
        <v>0</v>
      </c>
      <c r="L303" s="5"/>
    </row>
    <row r="304" spans="3:12" x14ac:dyDescent="0.25">
      <c r="C304" s="226"/>
      <c r="D304" s="197" t="s">
        <v>40</v>
      </c>
      <c r="E304" s="15" t="s">
        <v>168</v>
      </c>
      <c r="F304" s="211">
        <v>20140</v>
      </c>
      <c r="G304" s="6">
        <v>0</v>
      </c>
      <c r="H304" s="6">
        <v>0</v>
      </c>
      <c r="I304" s="6">
        <v>0</v>
      </c>
      <c r="J304" s="6"/>
      <c r="K304" s="6">
        <v>0</v>
      </c>
      <c r="L304" s="5"/>
    </row>
    <row r="305" spans="3:12" x14ac:dyDescent="0.25">
      <c r="C305" s="226"/>
      <c r="D305" s="197" t="s">
        <v>19</v>
      </c>
      <c r="E305" s="15" t="s">
        <v>168</v>
      </c>
      <c r="F305" s="200">
        <v>61681</v>
      </c>
      <c r="G305" s="6">
        <v>0</v>
      </c>
      <c r="H305" s="6">
        <v>0</v>
      </c>
      <c r="I305" s="6">
        <v>0</v>
      </c>
      <c r="J305" s="6"/>
      <c r="K305" s="6">
        <v>0</v>
      </c>
      <c r="L305" s="5"/>
    </row>
    <row r="306" spans="3:12" x14ac:dyDescent="0.25">
      <c r="C306" s="226"/>
      <c r="D306" s="197" t="s">
        <v>18</v>
      </c>
      <c r="E306" s="15" t="s">
        <v>168</v>
      </c>
      <c r="F306" s="200">
        <v>10850</v>
      </c>
      <c r="G306" s="6">
        <v>0</v>
      </c>
      <c r="H306" s="6">
        <v>0</v>
      </c>
      <c r="I306" s="6">
        <v>0</v>
      </c>
      <c r="J306" s="6"/>
      <c r="K306" s="6">
        <v>0</v>
      </c>
      <c r="L306" s="5"/>
    </row>
    <row r="307" spans="3:12" x14ac:dyDescent="0.25">
      <c r="C307" s="226"/>
      <c r="D307" s="197" t="s">
        <v>127</v>
      </c>
      <c r="E307" s="15" t="s">
        <v>168</v>
      </c>
      <c r="F307" s="200">
        <v>37000</v>
      </c>
      <c r="G307" s="6">
        <v>0</v>
      </c>
      <c r="H307" s="6">
        <v>0</v>
      </c>
      <c r="I307" s="6">
        <v>0</v>
      </c>
      <c r="J307" s="6"/>
      <c r="K307" s="6">
        <v>0</v>
      </c>
      <c r="L307" s="5"/>
    </row>
    <row r="308" spans="3:12" x14ac:dyDescent="0.25">
      <c r="C308" s="226"/>
      <c r="D308" s="197" t="s">
        <v>148</v>
      </c>
      <c r="E308" s="15" t="s">
        <v>168</v>
      </c>
      <c r="F308" s="200">
        <v>121800</v>
      </c>
      <c r="G308" s="6">
        <v>0</v>
      </c>
      <c r="H308" s="6">
        <v>0</v>
      </c>
      <c r="I308" s="6">
        <v>0</v>
      </c>
      <c r="J308" s="6"/>
      <c r="K308" s="6">
        <v>0</v>
      </c>
      <c r="L308" s="5"/>
    </row>
    <row r="309" spans="3:12" x14ac:dyDescent="0.25">
      <c r="C309" s="226"/>
      <c r="D309" s="197" t="s">
        <v>44</v>
      </c>
      <c r="E309" s="99" t="s">
        <v>172</v>
      </c>
      <c r="F309" s="6">
        <v>0</v>
      </c>
      <c r="G309" s="200">
        <v>60000</v>
      </c>
      <c r="H309" s="6">
        <v>0</v>
      </c>
      <c r="I309" s="6">
        <v>0</v>
      </c>
      <c r="J309" s="6"/>
      <c r="K309" s="6">
        <v>0</v>
      </c>
      <c r="L309" s="5"/>
    </row>
    <row r="310" spans="3:12" x14ac:dyDescent="0.25">
      <c r="C310" s="226"/>
      <c r="D310" s="197" t="s">
        <v>145</v>
      </c>
      <c r="E310" s="99" t="s">
        <v>172</v>
      </c>
      <c r="F310" s="6">
        <v>0</v>
      </c>
      <c r="G310" s="214">
        <v>60000</v>
      </c>
      <c r="H310" s="6">
        <v>0</v>
      </c>
      <c r="I310" s="6">
        <v>0</v>
      </c>
      <c r="J310" s="6"/>
      <c r="K310" s="6">
        <v>0</v>
      </c>
      <c r="L310" s="5"/>
    </row>
    <row r="311" spans="3:12" x14ac:dyDescent="0.25">
      <c r="C311" s="226"/>
      <c r="D311" s="197"/>
      <c r="E311" s="99"/>
      <c r="F311" s="6">
        <v>0</v>
      </c>
      <c r="G311" s="6">
        <v>0</v>
      </c>
      <c r="H311" s="6">
        <v>0</v>
      </c>
      <c r="I311" s="6">
        <v>0</v>
      </c>
      <c r="J311" s="6"/>
      <c r="K311" s="6">
        <v>0</v>
      </c>
      <c r="L311" s="5"/>
    </row>
    <row r="312" spans="3:12" x14ac:dyDescent="0.25">
      <c r="C312" s="226"/>
      <c r="D312" s="197"/>
      <c r="E312" s="99"/>
      <c r="F312" s="6">
        <v>0</v>
      </c>
      <c r="G312" s="6">
        <v>0</v>
      </c>
      <c r="H312" s="6">
        <v>0</v>
      </c>
      <c r="I312" s="6">
        <v>0</v>
      </c>
      <c r="J312" s="6"/>
      <c r="K312" s="6">
        <v>0</v>
      </c>
      <c r="L312" s="5"/>
    </row>
    <row r="313" spans="3:12" x14ac:dyDescent="0.25">
      <c r="C313" s="226"/>
      <c r="D313" s="197"/>
      <c r="E313" s="99"/>
      <c r="F313" s="6">
        <v>0</v>
      </c>
      <c r="G313" s="6">
        <v>0</v>
      </c>
      <c r="H313" s="6">
        <v>0</v>
      </c>
      <c r="I313" s="6">
        <v>0</v>
      </c>
      <c r="J313" s="6"/>
      <c r="K313" s="6">
        <v>0</v>
      </c>
      <c r="L313" s="5"/>
    </row>
    <row r="314" spans="3:12" x14ac:dyDescent="0.25">
      <c r="C314" s="226"/>
      <c r="D314" s="197"/>
      <c r="E314" s="99"/>
      <c r="F314" s="6">
        <v>0</v>
      </c>
      <c r="G314" s="6">
        <v>0</v>
      </c>
      <c r="H314" s="6">
        <v>0</v>
      </c>
      <c r="I314" s="6">
        <v>0</v>
      </c>
      <c r="J314" s="6"/>
      <c r="K314" s="6">
        <v>0</v>
      </c>
      <c r="L314" s="206">
        <f>SUM(F299:G304)</f>
        <v>397320</v>
      </c>
    </row>
    <row r="315" spans="3:12" x14ac:dyDescent="0.25">
      <c r="C315" s="226"/>
      <c r="D315" s="197"/>
      <c r="E315" s="99"/>
      <c r="F315" s="6">
        <v>0</v>
      </c>
      <c r="G315" s="6">
        <v>0</v>
      </c>
      <c r="H315" s="6">
        <v>0</v>
      </c>
      <c r="I315" s="6">
        <v>0</v>
      </c>
      <c r="J315" s="6"/>
      <c r="K315" s="6">
        <v>0</v>
      </c>
      <c r="L315" s="201">
        <f>SUM(F305+F306+F307+F308+G309)</f>
        <v>291331</v>
      </c>
    </row>
    <row r="316" spans="3:12" x14ac:dyDescent="0.25">
      <c r="C316" s="226"/>
      <c r="D316" s="197"/>
      <c r="E316" s="99"/>
      <c r="F316" s="6">
        <v>0</v>
      </c>
      <c r="G316" s="6">
        <v>0</v>
      </c>
      <c r="H316" s="6">
        <v>0</v>
      </c>
      <c r="I316" s="6">
        <v>0</v>
      </c>
      <c r="J316" s="6"/>
      <c r="K316" s="6">
        <v>0</v>
      </c>
      <c r="L316" s="5"/>
    </row>
    <row r="317" spans="3:12" x14ac:dyDescent="0.25">
      <c r="C317" s="101"/>
      <c r="D317" s="117"/>
      <c r="E317" s="102" t="s">
        <v>27</v>
      </c>
      <c r="F317" s="33">
        <f>SUM(F299:F316)</f>
        <v>553651</v>
      </c>
      <c r="G317" s="33">
        <f>SUM(G299:G316)</f>
        <v>195000</v>
      </c>
      <c r="H317" s="33">
        <f>SUM(H299:H316)</f>
        <v>0</v>
      </c>
      <c r="I317" s="33">
        <f>SUM(I299:I316)</f>
        <v>0</v>
      </c>
      <c r="J317" s="33">
        <f>SUM(J299:J316)</f>
        <v>0</v>
      </c>
      <c r="K317" s="33">
        <f>SUM(F317:J317)-J317</f>
        <v>748651</v>
      </c>
      <c r="L317" s="16"/>
    </row>
    <row r="318" spans="3:12" x14ac:dyDescent="0.25">
      <c r="C318" s="225">
        <v>18</v>
      </c>
      <c r="D318" s="197" t="s">
        <v>142</v>
      </c>
      <c r="E318" s="15" t="s">
        <v>168</v>
      </c>
      <c r="F318" s="212">
        <v>16000</v>
      </c>
      <c r="G318" s="6">
        <v>0</v>
      </c>
      <c r="H318" s="6">
        <v>0</v>
      </c>
      <c r="I318" s="6">
        <v>0</v>
      </c>
      <c r="J318" s="6"/>
      <c r="K318" s="6">
        <v>0</v>
      </c>
      <c r="L318" s="5"/>
    </row>
    <row r="319" spans="3:12" x14ac:dyDescent="0.25">
      <c r="C319" s="226"/>
      <c r="D319" s="197" t="s">
        <v>24</v>
      </c>
      <c r="E319" s="15" t="s">
        <v>168</v>
      </c>
      <c r="F319" s="212">
        <v>219811</v>
      </c>
      <c r="G319" s="6">
        <v>0</v>
      </c>
      <c r="H319" s="6">
        <v>0</v>
      </c>
      <c r="I319" s="6">
        <v>0</v>
      </c>
      <c r="J319" s="6"/>
      <c r="K319" s="6">
        <v>0</v>
      </c>
      <c r="L319" s="5"/>
    </row>
    <row r="320" spans="3:12" x14ac:dyDescent="0.25">
      <c r="C320" s="226"/>
      <c r="D320" s="197" t="s">
        <v>139</v>
      </c>
      <c r="E320" s="15" t="s">
        <v>168</v>
      </c>
      <c r="F320" s="212">
        <v>5000</v>
      </c>
      <c r="G320" s="6">
        <v>0</v>
      </c>
      <c r="H320" s="6">
        <v>0</v>
      </c>
      <c r="I320" s="6">
        <v>0</v>
      </c>
      <c r="J320" s="6"/>
      <c r="K320" s="6">
        <v>0</v>
      </c>
      <c r="L320" s="5"/>
    </row>
    <row r="321" spans="3:12" x14ac:dyDescent="0.25">
      <c r="C321" s="226"/>
      <c r="D321" s="197" t="s">
        <v>33</v>
      </c>
      <c r="E321" s="15" t="s">
        <v>168</v>
      </c>
      <c r="F321" s="212">
        <v>67500</v>
      </c>
      <c r="G321" s="6">
        <v>0</v>
      </c>
      <c r="H321" s="6">
        <v>0</v>
      </c>
      <c r="I321" s="6">
        <v>0</v>
      </c>
      <c r="J321" s="6"/>
      <c r="K321" s="6">
        <v>0</v>
      </c>
      <c r="L321" s="5"/>
    </row>
    <row r="322" spans="3:12" x14ac:dyDescent="0.25">
      <c r="C322" s="226"/>
      <c r="D322" s="197" t="s">
        <v>40</v>
      </c>
      <c r="E322" s="15" t="s">
        <v>168</v>
      </c>
      <c r="F322" s="212">
        <v>4400</v>
      </c>
      <c r="G322" s="6">
        <v>0</v>
      </c>
      <c r="H322" s="6">
        <v>0</v>
      </c>
      <c r="I322" s="6">
        <v>0</v>
      </c>
      <c r="J322" s="6"/>
      <c r="K322" s="6">
        <v>0</v>
      </c>
      <c r="L322" s="5"/>
    </row>
    <row r="323" spans="3:12" x14ac:dyDescent="0.25">
      <c r="C323" s="226"/>
      <c r="D323" s="197" t="s">
        <v>145</v>
      </c>
      <c r="E323" s="99" t="s">
        <v>169</v>
      </c>
      <c r="F323" s="6">
        <v>0</v>
      </c>
      <c r="G323" s="212">
        <v>55000</v>
      </c>
      <c r="H323" s="6">
        <v>0</v>
      </c>
      <c r="I323" s="6">
        <v>0</v>
      </c>
      <c r="J323" s="6"/>
      <c r="K323" s="6">
        <v>0</v>
      </c>
      <c r="L323" s="5"/>
    </row>
    <row r="324" spans="3:12" x14ac:dyDescent="0.25">
      <c r="C324" s="226"/>
      <c r="D324" s="197" t="s">
        <v>134</v>
      </c>
      <c r="E324" s="99" t="s">
        <v>199</v>
      </c>
      <c r="F324" s="6">
        <v>0</v>
      </c>
      <c r="G324" s="6">
        <v>0</v>
      </c>
      <c r="H324" s="6">
        <v>0</v>
      </c>
      <c r="I324" s="204">
        <v>18900</v>
      </c>
      <c r="J324" s="6"/>
      <c r="K324" s="6">
        <v>0</v>
      </c>
      <c r="L324" s="5"/>
    </row>
    <row r="325" spans="3:12" x14ac:dyDescent="0.25">
      <c r="C325" s="226"/>
      <c r="D325" s="197" t="s">
        <v>154</v>
      </c>
      <c r="E325" s="99" t="s">
        <v>184</v>
      </c>
      <c r="F325" s="6">
        <v>0</v>
      </c>
      <c r="G325" s="209">
        <v>5000</v>
      </c>
      <c r="H325" s="6">
        <v>0</v>
      </c>
      <c r="I325" s="6">
        <v>0</v>
      </c>
      <c r="J325" s="6"/>
      <c r="K325" s="6">
        <v>0</v>
      </c>
      <c r="L325" s="5"/>
    </row>
    <row r="326" spans="3:12" x14ac:dyDescent="0.25">
      <c r="C326" s="226"/>
      <c r="D326" s="197" t="s">
        <v>148</v>
      </c>
      <c r="E326" s="99" t="s">
        <v>168</v>
      </c>
      <c r="F326" s="204">
        <v>102100</v>
      </c>
      <c r="G326" s="6">
        <v>0</v>
      </c>
      <c r="H326" s="6">
        <v>0</v>
      </c>
      <c r="I326" s="6">
        <v>0</v>
      </c>
      <c r="J326" s="6"/>
      <c r="K326" s="6">
        <v>0</v>
      </c>
      <c r="L326" s="5"/>
    </row>
    <row r="327" spans="3:12" x14ac:dyDescent="0.25">
      <c r="C327" s="226"/>
      <c r="D327" s="197" t="s">
        <v>154</v>
      </c>
      <c r="E327" s="99" t="s">
        <v>172</v>
      </c>
      <c r="F327" s="6">
        <v>0</v>
      </c>
      <c r="G327" s="204">
        <v>55000</v>
      </c>
      <c r="H327" s="6">
        <v>0</v>
      </c>
      <c r="I327" s="6">
        <v>0</v>
      </c>
      <c r="J327" s="6"/>
      <c r="K327" s="6">
        <v>0</v>
      </c>
      <c r="L327" s="5"/>
    </row>
    <row r="328" spans="3:12" x14ac:dyDescent="0.25">
      <c r="C328" s="226"/>
      <c r="D328" s="197" t="s">
        <v>44</v>
      </c>
      <c r="E328" s="99" t="s">
        <v>172</v>
      </c>
      <c r="F328" s="6">
        <v>0</v>
      </c>
      <c r="G328" s="204">
        <v>55000</v>
      </c>
      <c r="H328" s="6">
        <v>0</v>
      </c>
      <c r="I328" s="6">
        <v>0</v>
      </c>
      <c r="J328" s="6"/>
      <c r="K328" s="6">
        <v>0</v>
      </c>
      <c r="L328" s="5"/>
    </row>
    <row r="329" spans="3:12" x14ac:dyDescent="0.25">
      <c r="C329" s="226"/>
      <c r="D329" s="197"/>
      <c r="E329" s="99"/>
      <c r="F329" s="6">
        <v>0</v>
      </c>
      <c r="G329" s="6">
        <v>0</v>
      </c>
      <c r="H329" s="6">
        <v>0</v>
      </c>
      <c r="I329" s="6">
        <v>0</v>
      </c>
      <c r="J329" s="6"/>
      <c r="K329" s="6">
        <v>0</v>
      </c>
      <c r="L329" s="5"/>
    </row>
    <row r="330" spans="3:12" x14ac:dyDescent="0.25">
      <c r="C330" s="226"/>
      <c r="D330" s="197"/>
      <c r="E330" s="99"/>
      <c r="F330" s="6">
        <v>0</v>
      </c>
      <c r="G330" s="6">
        <v>0</v>
      </c>
      <c r="H330" s="6">
        <v>0</v>
      </c>
      <c r="I330" s="6">
        <v>0</v>
      </c>
      <c r="J330" s="6"/>
      <c r="K330" s="6">
        <v>0</v>
      </c>
      <c r="L330" s="5"/>
    </row>
    <row r="331" spans="3:12" x14ac:dyDescent="0.25">
      <c r="C331" s="226"/>
      <c r="D331" s="197"/>
      <c r="E331" s="99"/>
      <c r="F331" s="6">
        <v>0</v>
      </c>
      <c r="G331" s="6">
        <v>0</v>
      </c>
      <c r="H331" s="6">
        <v>0</v>
      </c>
      <c r="I331" s="6">
        <v>0</v>
      </c>
      <c r="J331" s="6"/>
      <c r="K331" s="6">
        <v>0</v>
      </c>
      <c r="L331" s="213">
        <f>SUM(F318+F319+F320+F321+F322+G323)</f>
        <v>367711</v>
      </c>
    </row>
    <row r="332" spans="3:12" x14ac:dyDescent="0.25">
      <c r="C332" s="226"/>
      <c r="D332" s="197"/>
      <c r="E332" s="99"/>
      <c r="F332" s="6">
        <v>0</v>
      </c>
      <c r="G332" s="6">
        <v>0</v>
      </c>
      <c r="H332" s="6">
        <v>0</v>
      </c>
      <c r="I332" s="6">
        <v>0</v>
      </c>
      <c r="J332" s="6"/>
      <c r="K332" s="6">
        <v>0</v>
      </c>
      <c r="L332" s="203">
        <f>SUM(I324)+F326+G327+G328</f>
        <v>231000</v>
      </c>
    </row>
    <row r="333" spans="3:12" x14ac:dyDescent="0.25">
      <c r="C333" s="101"/>
      <c r="D333" s="117"/>
      <c r="E333" s="102" t="s">
        <v>27</v>
      </c>
      <c r="F333" s="33">
        <f>SUM(F318:F332)</f>
        <v>414811</v>
      </c>
      <c r="G333" s="33">
        <f>SUM(G318:G332)</f>
        <v>170000</v>
      </c>
      <c r="H333" s="33">
        <f>SUM(H318:H332)</f>
        <v>0</v>
      </c>
      <c r="I333" s="33">
        <f>SUM(I318:I332)</f>
        <v>18900</v>
      </c>
      <c r="J333" s="33">
        <f>SUM(J318:J332)</f>
        <v>0</v>
      </c>
      <c r="K333" s="33">
        <f>SUM(F333:J333)-J333</f>
        <v>603711</v>
      </c>
      <c r="L333" s="16">
        <f>L331+L332</f>
        <v>598711</v>
      </c>
    </row>
    <row r="334" spans="3:12" x14ac:dyDescent="0.25">
      <c r="C334" s="225">
        <v>19</v>
      </c>
      <c r="D334" s="197" t="s">
        <v>145</v>
      </c>
      <c r="E334" s="99" t="s">
        <v>169</v>
      </c>
      <c r="F334" s="6">
        <v>0</v>
      </c>
      <c r="G334" s="212">
        <v>50000</v>
      </c>
      <c r="H334" s="6">
        <v>0</v>
      </c>
      <c r="I334" s="6">
        <v>0</v>
      </c>
      <c r="J334" s="6"/>
      <c r="K334" s="6">
        <v>0</v>
      </c>
      <c r="L334" s="5"/>
    </row>
    <row r="335" spans="3:12" x14ac:dyDescent="0.25">
      <c r="C335" s="226"/>
      <c r="D335" s="197" t="s">
        <v>19</v>
      </c>
      <c r="E335" s="99" t="s">
        <v>168</v>
      </c>
      <c r="F335" s="204">
        <v>11960</v>
      </c>
      <c r="G335" s="6">
        <v>0</v>
      </c>
      <c r="H335" s="6">
        <v>0</v>
      </c>
      <c r="I335" s="6">
        <v>0</v>
      </c>
      <c r="J335" s="6"/>
      <c r="K335" s="6">
        <v>0</v>
      </c>
      <c r="L335" s="5"/>
    </row>
    <row r="336" spans="3:12" x14ac:dyDescent="0.25">
      <c r="C336" s="226"/>
      <c r="D336" s="197" t="s">
        <v>19</v>
      </c>
      <c r="E336" s="99" t="s">
        <v>168</v>
      </c>
      <c r="F336" s="204">
        <v>93363</v>
      </c>
      <c r="G336" s="6">
        <v>0</v>
      </c>
      <c r="H336" s="6">
        <v>0</v>
      </c>
      <c r="I336" s="6">
        <v>0</v>
      </c>
      <c r="J336" s="6"/>
      <c r="K336" s="6">
        <v>0</v>
      </c>
      <c r="L336" s="5"/>
    </row>
    <row r="337" spans="3:12" x14ac:dyDescent="0.25">
      <c r="C337" s="226"/>
      <c r="D337" s="197" t="s">
        <v>18</v>
      </c>
      <c r="E337" s="99" t="s">
        <v>168</v>
      </c>
      <c r="F337" s="204">
        <v>10990</v>
      </c>
      <c r="G337" s="6">
        <v>0</v>
      </c>
      <c r="H337" s="6">
        <v>0</v>
      </c>
      <c r="I337" s="6">
        <v>0</v>
      </c>
      <c r="J337" s="6"/>
      <c r="K337" s="6">
        <v>0</v>
      </c>
      <c r="L337" s="5"/>
    </row>
    <row r="338" spans="3:12" x14ac:dyDescent="0.25">
      <c r="C338" s="226"/>
      <c r="D338" s="197" t="s">
        <v>148</v>
      </c>
      <c r="E338" s="99" t="s">
        <v>168</v>
      </c>
      <c r="F338" s="204">
        <v>69300</v>
      </c>
      <c r="G338" s="6">
        <v>0</v>
      </c>
      <c r="H338" s="6">
        <v>0</v>
      </c>
      <c r="I338" s="6">
        <v>0</v>
      </c>
      <c r="J338" s="6"/>
      <c r="K338" s="6">
        <v>0</v>
      </c>
      <c r="L338" s="5"/>
    </row>
    <row r="339" spans="3:12" x14ac:dyDescent="0.25">
      <c r="C339" s="226"/>
      <c r="D339" s="197" t="s">
        <v>37</v>
      </c>
      <c r="E339" s="99" t="s">
        <v>172</v>
      </c>
      <c r="F339" s="6">
        <v>0</v>
      </c>
      <c r="G339" s="204">
        <v>50000</v>
      </c>
      <c r="H339" s="6">
        <v>0</v>
      </c>
      <c r="I339" s="6">
        <v>0</v>
      </c>
      <c r="J339" s="6"/>
      <c r="K339" s="6">
        <v>0</v>
      </c>
      <c r="L339" s="5"/>
    </row>
    <row r="340" spans="3:12" x14ac:dyDescent="0.25">
      <c r="C340" s="226"/>
      <c r="D340" s="197" t="s">
        <v>44</v>
      </c>
      <c r="E340" s="99" t="s">
        <v>172</v>
      </c>
      <c r="F340" s="6">
        <v>0</v>
      </c>
      <c r="G340" s="204">
        <v>50000</v>
      </c>
      <c r="H340" s="6">
        <v>0</v>
      </c>
      <c r="I340" s="6">
        <v>0</v>
      </c>
      <c r="J340" s="6"/>
      <c r="K340" s="6">
        <v>0</v>
      </c>
      <c r="L340" s="5"/>
    </row>
    <row r="341" spans="3:12" x14ac:dyDescent="0.25">
      <c r="C341" s="226"/>
      <c r="D341" s="197" t="s">
        <v>46</v>
      </c>
      <c r="E341" s="99" t="s">
        <v>201</v>
      </c>
      <c r="F341" s="6">
        <v>0</v>
      </c>
      <c r="G341" s="6">
        <v>0</v>
      </c>
      <c r="H341" s="6">
        <v>0</v>
      </c>
      <c r="I341" s="204">
        <v>5000</v>
      </c>
      <c r="J341" s="6"/>
      <c r="K341" s="6">
        <v>0</v>
      </c>
      <c r="L341" s="5"/>
    </row>
    <row r="342" spans="3:12" x14ac:dyDescent="0.25">
      <c r="C342" s="226"/>
      <c r="D342" s="197"/>
      <c r="E342" s="99"/>
      <c r="F342" s="6">
        <v>0</v>
      </c>
      <c r="G342" s="6">
        <v>0</v>
      </c>
      <c r="H342" s="6">
        <v>0</v>
      </c>
      <c r="I342" s="6">
        <v>0</v>
      </c>
      <c r="J342" s="6"/>
      <c r="K342" s="6">
        <v>0</v>
      </c>
      <c r="L342" s="5"/>
    </row>
    <row r="343" spans="3:12" x14ac:dyDescent="0.25">
      <c r="C343" s="226"/>
      <c r="D343" s="197"/>
      <c r="E343" s="99"/>
      <c r="F343" s="6">
        <v>0</v>
      </c>
      <c r="G343" s="6">
        <v>0</v>
      </c>
      <c r="H343" s="6">
        <v>0</v>
      </c>
      <c r="I343" s="6">
        <v>0</v>
      </c>
      <c r="J343" s="6"/>
      <c r="K343" s="6">
        <v>0</v>
      </c>
      <c r="L343" s="5"/>
    </row>
    <row r="344" spans="3:12" x14ac:dyDescent="0.25">
      <c r="C344" s="226"/>
      <c r="D344" s="197"/>
      <c r="E344" s="99"/>
      <c r="F344" s="6">
        <v>0</v>
      </c>
      <c r="G344" s="6">
        <v>0</v>
      </c>
      <c r="H344" s="6">
        <v>0</v>
      </c>
      <c r="I344" s="6">
        <v>0</v>
      </c>
      <c r="J344" s="6"/>
      <c r="K344" s="6">
        <v>0</v>
      </c>
      <c r="L344" s="5"/>
    </row>
    <row r="345" spans="3:12" x14ac:dyDescent="0.25">
      <c r="C345" s="226"/>
      <c r="D345" s="197"/>
      <c r="E345" s="99"/>
      <c r="F345" s="6">
        <v>0</v>
      </c>
      <c r="G345" s="6">
        <v>0</v>
      </c>
      <c r="H345" s="6">
        <v>0</v>
      </c>
      <c r="I345" s="6">
        <v>0</v>
      </c>
      <c r="J345" s="6"/>
      <c r="K345" s="6">
        <v>0</v>
      </c>
      <c r="L345" s="5"/>
    </row>
    <row r="346" spans="3:12" x14ac:dyDescent="0.25">
      <c r="C346" s="226"/>
      <c r="D346" s="197"/>
      <c r="E346" s="99"/>
      <c r="F346" s="6">
        <v>0</v>
      </c>
      <c r="G346" s="6">
        <v>0</v>
      </c>
      <c r="H346" s="6">
        <v>0</v>
      </c>
      <c r="I346" s="6">
        <v>0</v>
      </c>
      <c r="J346" s="6"/>
      <c r="K346" s="6">
        <v>0</v>
      </c>
      <c r="L346" s="5"/>
    </row>
    <row r="347" spans="3:12" x14ac:dyDescent="0.25">
      <c r="C347" s="226"/>
      <c r="D347" s="197"/>
      <c r="E347" s="99"/>
      <c r="F347" s="6">
        <v>0</v>
      </c>
      <c r="G347" s="6">
        <v>0</v>
      </c>
      <c r="H347" s="6">
        <v>0</v>
      </c>
      <c r="I347" s="6">
        <v>0</v>
      </c>
      <c r="J347" s="6"/>
      <c r="K347" s="6">
        <v>0</v>
      </c>
      <c r="L347" s="5"/>
    </row>
    <row r="348" spans="3:12" x14ac:dyDescent="0.25">
      <c r="C348" s="226"/>
      <c r="D348" s="197"/>
      <c r="E348" s="99"/>
      <c r="F348" s="6">
        <v>0</v>
      </c>
      <c r="G348" s="6">
        <v>0</v>
      </c>
      <c r="H348" s="6">
        <v>0</v>
      </c>
      <c r="I348" s="6">
        <v>0</v>
      </c>
      <c r="J348" s="6"/>
      <c r="K348" s="6">
        <v>0</v>
      </c>
      <c r="L348" s="213">
        <f>SUM(G334)</f>
        <v>50000</v>
      </c>
    </row>
    <row r="349" spans="3:12" x14ac:dyDescent="0.25">
      <c r="C349" s="226"/>
      <c r="D349" s="197"/>
      <c r="E349" s="99"/>
      <c r="F349" s="6">
        <v>0</v>
      </c>
      <c r="G349" s="6">
        <v>0</v>
      </c>
      <c r="H349" s="6">
        <v>0</v>
      </c>
      <c r="I349" s="6">
        <v>0</v>
      </c>
      <c r="J349" s="6"/>
      <c r="K349" s="6">
        <v>0</v>
      </c>
      <c r="L349" s="203">
        <f>SUM(F335:F338)+G339+G340+I341</f>
        <v>290613</v>
      </c>
    </row>
    <row r="350" spans="3:12" x14ac:dyDescent="0.25">
      <c r="C350" s="227"/>
      <c r="D350" s="197"/>
      <c r="E350" s="99"/>
      <c r="F350" s="6">
        <v>0</v>
      </c>
      <c r="G350" s="6">
        <v>0</v>
      </c>
      <c r="H350" s="6">
        <v>0</v>
      </c>
      <c r="I350" s="6">
        <v>0</v>
      </c>
      <c r="J350" s="6"/>
      <c r="K350" s="6">
        <v>0</v>
      </c>
      <c r="L350" s="108">
        <f>L348+L349</f>
        <v>340613</v>
      </c>
    </row>
    <row r="351" spans="3:12" x14ac:dyDescent="0.25">
      <c r="C351" s="101"/>
      <c r="D351" s="117"/>
      <c r="E351" s="102" t="s">
        <v>27</v>
      </c>
      <c r="F351" s="33">
        <f>SUM(F334:F350)</f>
        <v>185613</v>
      </c>
      <c r="G351" s="33">
        <f>SUM(G334:G350)</f>
        <v>150000</v>
      </c>
      <c r="H351" s="33">
        <f>SUM(H334:H349)</f>
        <v>0</v>
      </c>
      <c r="I351" s="33">
        <f>SUM(I334:I349)</f>
        <v>5000</v>
      </c>
      <c r="J351" s="33">
        <f>SUM(J334:J350)</f>
        <v>0</v>
      </c>
      <c r="K351" s="33">
        <f>SUM(F351:J351)-J351</f>
        <v>340613</v>
      </c>
      <c r="L351" s="16"/>
    </row>
    <row r="352" spans="3:12" x14ac:dyDescent="0.25">
      <c r="C352" s="225">
        <v>20</v>
      </c>
      <c r="D352" s="197" t="s">
        <v>34</v>
      </c>
      <c r="E352" s="15" t="s">
        <v>168</v>
      </c>
      <c r="F352" s="199">
        <v>10000</v>
      </c>
      <c r="G352" s="6">
        <v>0</v>
      </c>
      <c r="H352" s="6">
        <v>0</v>
      </c>
      <c r="I352" s="6">
        <v>0</v>
      </c>
      <c r="J352" s="6"/>
      <c r="K352" s="6">
        <v>0</v>
      </c>
      <c r="L352" s="5"/>
    </row>
    <row r="353" spans="3:12" x14ac:dyDescent="0.25">
      <c r="C353" s="226"/>
      <c r="D353" s="197" t="s">
        <v>46</v>
      </c>
      <c r="E353" s="99" t="s">
        <v>201</v>
      </c>
      <c r="F353" s="6">
        <v>0</v>
      </c>
      <c r="G353" s="6">
        <v>0</v>
      </c>
      <c r="H353" s="6">
        <v>0</v>
      </c>
      <c r="I353" s="199">
        <v>10000</v>
      </c>
      <c r="J353" s="6"/>
      <c r="K353" s="6">
        <v>0</v>
      </c>
      <c r="L353" s="5"/>
    </row>
    <row r="354" spans="3:12" x14ac:dyDescent="0.25">
      <c r="C354" s="226"/>
      <c r="D354" s="197" t="s">
        <v>37</v>
      </c>
      <c r="E354" s="99" t="s">
        <v>169</v>
      </c>
      <c r="F354" s="6">
        <v>0</v>
      </c>
      <c r="G354" s="199">
        <v>55000</v>
      </c>
      <c r="H354" s="6">
        <v>0</v>
      </c>
      <c r="I354" s="6">
        <v>0</v>
      </c>
      <c r="J354" s="6"/>
      <c r="K354" s="6">
        <v>0</v>
      </c>
      <c r="L354" s="5"/>
    </row>
    <row r="355" spans="3:12" x14ac:dyDescent="0.25">
      <c r="C355" s="226"/>
      <c r="D355" s="197" t="s">
        <v>22</v>
      </c>
      <c r="E355" s="99" t="s">
        <v>168</v>
      </c>
      <c r="F355" s="199">
        <v>256500</v>
      </c>
      <c r="G355" s="6">
        <v>0</v>
      </c>
      <c r="H355" s="6">
        <v>0</v>
      </c>
      <c r="I355" s="6">
        <v>0</v>
      </c>
      <c r="J355" s="6"/>
      <c r="K355" s="6">
        <v>0</v>
      </c>
      <c r="L355" s="5"/>
    </row>
    <row r="356" spans="3:12" x14ac:dyDescent="0.25">
      <c r="C356" s="226"/>
      <c r="D356" s="197" t="s">
        <v>19</v>
      </c>
      <c r="E356" s="99" t="s">
        <v>168</v>
      </c>
      <c r="F356" s="204">
        <v>16340</v>
      </c>
      <c r="G356" s="6">
        <v>0</v>
      </c>
      <c r="H356" s="6">
        <v>0</v>
      </c>
      <c r="I356" s="6">
        <v>0</v>
      </c>
      <c r="J356" s="6"/>
      <c r="K356" s="6">
        <v>0</v>
      </c>
      <c r="L356" s="5"/>
    </row>
    <row r="357" spans="3:12" x14ac:dyDescent="0.25">
      <c r="C357" s="226"/>
      <c r="D357" s="197" t="s">
        <v>18</v>
      </c>
      <c r="E357" s="99" t="s">
        <v>168</v>
      </c>
      <c r="F357" s="204">
        <v>5950</v>
      </c>
      <c r="G357" s="6">
        <v>0</v>
      </c>
      <c r="H357" s="6">
        <v>0</v>
      </c>
      <c r="I357" s="6">
        <v>0</v>
      </c>
      <c r="J357" s="6"/>
      <c r="K357" s="6">
        <v>0</v>
      </c>
      <c r="L357" s="5"/>
    </row>
    <row r="358" spans="3:12" x14ac:dyDescent="0.25">
      <c r="C358" s="226"/>
      <c r="D358" s="197" t="s">
        <v>40</v>
      </c>
      <c r="E358" s="99" t="s">
        <v>168</v>
      </c>
      <c r="F358" s="204">
        <v>40940</v>
      </c>
      <c r="G358" s="6">
        <v>0</v>
      </c>
      <c r="H358" s="6">
        <v>0</v>
      </c>
      <c r="I358" s="6">
        <v>0</v>
      </c>
      <c r="J358" s="6"/>
      <c r="K358" s="6">
        <v>0</v>
      </c>
      <c r="L358" s="5"/>
    </row>
    <row r="359" spans="3:12" x14ac:dyDescent="0.25">
      <c r="C359" s="226"/>
      <c r="D359" s="197" t="s">
        <v>148</v>
      </c>
      <c r="E359" s="99" t="s">
        <v>168</v>
      </c>
      <c r="F359" s="204">
        <v>124400</v>
      </c>
      <c r="G359" s="6">
        <v>0</v>
      </c>
      <c r="H359" s="6">
        <v>0</v>
      </c>
      <c r="I359" s="6">
        <v>0</v>
      </c>
      <c r="J359" s="6"/>
      <c r="K359" s="6">
        <v>0</v>
      </c>
      <c r="L359" s="5"/>
    </row>
    <row r="360" spans="3:12" x14ac:dyDescent="0.25">
      <c r="C360" s="226"/>
      <c r="D360" s="197" t="s">
        <v>154</v>
      </c>
      <c r="E360" s="99" t="s">
        <v>172</v>
      </c>
      <c r="F360" s="6">
        <v>0</v>
      </c>
      <c r="G360" s="218">
        <v>50000</v>
      </c>
      <c r="H360" s="6">
        <v>0</v>
      </c>
      <c r="I360" s="6">
        <v>0</v>
      </c>
      <c r="J360" s="6"/>
      <c r="K360" s="6">
        <v>0</v>
      </c>
      <c r="L360" s="5"/>
    </row>
    <row r="361" spans="3:12" x14ac:dyDescent="0.25">
      <c r="C361" s="226"/>
      <c r="D361" s="197" t="s">
        <v>44</v>
      </c>
      <c r="E361" s="99" t="s">
        <v>172</v>
      </c>
      <c r="F361" s="6">
        <v>0</v>
      </c>
      <c r="G361" s="218">
        <v>50000</v>
      </c>
      <c r="H361" s="6">
        <v>0</v>
      </c>
      <c r="I361" s="6">
        <v>0</v>
      </c>
      <c r="J361" s="6"/>
      <c r="K361" s="6">
        <v>0</v>
      </c>
      <c r="L361" s="5"/>
    </row>
    <row r="362" spans="3:12" x14ac:dyDescent="0.25">
      <c r="C362" s="226"/>
      <c r="D362" s="197" t="s">
        <v>45</v>
      </c>
      <c r="E362" s="99" t="s">
        <v>201</v>
      </c>
      <c r="F362" s="6">
        <v>0</v>
      </c>
      <c r="G362" s="6">
        <v>0</v>
      </c>
      <c r="H362" s="6">
        <v>0</v>
      </c>
      <c r="I362" s="204">
        <v>10000</v>
      </c>
      <c r="J362" s="6"/>
      <c r="K362" s="6">
        <v>0</v>
      </c>
      <c r="L362" s="5"/>
    </row>
    <row r="363" spans="3:12" x14ac:dyDescent="0.25">
      <c r="C363" s="226"/>
      <c r="D363" s="197"/>
      <c r="E363" s="99"/>
      <c r="F363" s="6">
        <v>0</v>
      </c>
      <c r="G363" s="6">
        <v>0</v>
      </c>
      <c r="H363" s="6">
        <v>0</v>
      </c>
      <c r="I363" s="6">
        <v>0</v>
      </c>
      <c r="J363" s="6"/>
      <c r="K363" s="6">
        <v>0</v>
      </c>
      <c r="L363" s="5"/>
    </row>
    <row r="364" spans="3:12" x14ac:dyDescent="0.25">
      <c r="C364" s="226"/>
      <c r="D364" s="197"/>
      <c r="E364" s="99"/>
      <c r="F364" s="6">
        <v>0</v>
      </c>
      <c r="G364" s="6">
        <v>0</v>
      </c>
      <c r="H364" s="6">
        <v>0</v>
      </c>
      <c r="I364" s="6">
        <v>0</v>
      </c>
      <c r="J364" s="6"/>
      <c r="K364" s="6">
        <v>0</v>
      </c>
      <c r="L364" s="5"/>
    </row>
    <row r="365" spans="3:12" x14ac:dyDescent="0.25">
      <c r="C365" s="226"/>
      <c r="D365" s="197"/>
      <c r="E365" s="99"/>
      <c r="F365" s="6">
        <v>0</v>
      </c>
      <c r="G365" s="6">
        <v>0</v>
      </c>
      <c r="H365" s="6">
        <v>0</v>
      </c>
      <c r="I365" s="6">
        <v>0</v>
      </c>
      <c r="J365" s="6"/>
      <c r="K365" s="6">
        <v>0</v>
      </c>
      <c r="L365" s="5"/>
    </row>
    <row r="366" spans="3:12" x14ac:dyDescent="0.25">
      <c r="C366" s="226"/>
      <c r="D366" s="197"/>
      <c r="E366" s="99"/>
      <c r="F366" s="6">
        <v>0</v>
      </c>
      <c r="G366" s="6">
        <v>0</v>
      </c>
      <c r="H366" s="6">
        <v>0</v>
      </c>
      <c r="I366" s="6">
        <v>0</v>
      </c>
      <c r="J366" s="6"/>
      <c r="K366" s="6">
        <v>0</v>
      </c>
      <c r="L366" s="5"/>
    </row>
    <row r="367" spans="3:12" x14ac:dyDescent="0.25">
      <c r="C367" s="226"/>
      <c r="D367" s="197"/>
      <c r="E367" s="99"/>
      <c r="F367" s="6">
        <v>0</v>
      </c>
      <c r="G367" s="6">
        <v>0</v>
      </c>
      <c r="H367" s="6">
        <v>0</v>
      </c>
      <c r="I367" s="6">
        <v>0</v>
      </c>
      <c r="J367" s="6"/>
      <c r="K367" s="6">
        <v>0</v>
      </c>
      <c r="L367" s="5"/>
    </row>
    <row r="368" spans="3:12" x14ac:dyDescent="0.25">
      <c r="C368" s="226"/>
      <c r="D368" s="197"/>
      <c r="E368" s="99"/>
      <c r="F368" s="6">
        <v>0</v>
      </c>
      <c r="G368" s="6">
        <v>0</v>
      </c>
      <c r="H368" s="6">
        <v>0</v>
      </c>
      <c r="I368" s="6">
        <v>0</v>
      </c>
      <c r="J368" s="6"/>
      <c r="K368" s="6">
        <v>0</v>
      </c>
      <c r="L368" s="198">
        <f>SUM(F352:I355)</f>
        <v>331500</v>
      </c>
    </row>
    <row r="369" spans="3:12" x14ac:dyDescent="0.25">
      <c r="C369" s="226"/>
      <c r="D369" s="197"/>
      <c r="E369" s="99"/>
      <c r="F369" s="6">
        <v>0</v>
      </c>
      <c r="G369" s="6">
        <v>0</v>
      </c>
      <c r="H369" s="6">
        <v>0</v>
      </c>
      <c r="I369" s="6">
        <v>0</v>
      </c>
      <c r="J369" s="6"/>
      <c r="K369" s="6">
        <v>0</v>
      </c>
      <c r="L369" s="203">
        <f>SUM(F356:F359)+G360+G361+I362</f>
        <v>297630</v>
      </c>
    </row>
    <row r="370" spans="3:12" x14ac:dyDescent="0.25">
      <c r="C370" s="226"/>
      <c r="D370" s="197"/>
      <c r="E370" s="99"/>
      <c r="F370" s="6">
        <v>0</v>
      </c>
      <c r="G370" s="6">
        <v>0</v>
      </c>
      <c r="H370" s="6">
        <v>0</v>
      </c>
      <c r="I370" s="6">
        <v>0</v>
      </c>
      <c r="J370" s="6"/>
      <c r="K370" s="6">
        <v>0</v>
      </c>
      <c r="L370" s="108">
        <f>L368+L369</f>
        <v>629130</v>
      </c>
    </row>
    <row r="371" spans="3:12" x14ac:dyDescent="0.25">
      <c r="C371" s="101"/>
      <c r="D371" s="117"/>
      <c r="E371" s="102" t="s">
        <v>27</v>
      </c>
      <c r="F371" s="33">
        <f>SUM(F352:F370)</f>
        <v>454130</v>
      </c>
      <c r="G371" s="33">
        <f>SUM(G352:G370)</f>
        <v>155000</v>
      </c>
      <c r="H371" s="33">
        <f>SUM(H352:H370)</f>
        <v>0</v>
      </c>
      <c r="I371" s="33">
        <f>SUM(I352:I370)</f>
        <v>20000</v>
      </c>
      <c r="J371" s="33">
        <f>SUM(J352:J370)</f>
        <v>0</v>
      </c>
      <c r="K371" s="33">
        <f>SUM(F371:J371)-J371</f>
        <v>629130</v>
      </c>
      <c r="L371" s="16"/>
    </row>
    <row r="372" spans="3:12" x14ac:dyDescent="0.25">
      <c r="C372" s="225">
        <v>21</v>
      </c>
      <c r="D372" s="197" t="s">
        <v>105</v>
      </c>
      <c r="E372" s="99" t="s">
        <v>168</v>
      </c>
      <c r="F372" s="199">
        <v>13800</v>
      </c>
      <c r="G372" s="6">
        <v>0</v>
      </c>
      <c r="H372" s="6">
        <v>0</v>
      </c>
      <c r="I372" s="6">
        <v>0</v>
      </c>
      <c r="J372" s="6"/>
      <c r="K372" s="6">
        <v>0</v>
      </c>
      <c r="L372" s="5"/>
    </row>
    <row r="373" spans="3:12" x14ac:dyDescent="0.25">
      <c r="C373" s="226"/>
      <c r="D373" s="197" t="s">
        <v>24</v>
      </c>
      <c r="E373" s="99" t="s">
        <v>168</v>
      </c>
      <c r="F373" s="199">
        <v>291892</v>
      </c>
      <c r="G373" s="6">
        <v>0</v>
      </c>
      <c r="H373" s="6">
        <v>0</v>
      </c>
      <c r="I373" s="6">
        <v>0</v>
      </c>
      <c r="J373" s="6"/>
      <c r="K373" s="6">
        <v>0</v>
      </c>
      <c r="L373" s="5"/>
    </row>
    <row r="374" spans="3:12" x14ac:dyDescent="0.25">
      <c r="C374" s="226"/>
      <c r="D374" s="197" t="s">
        <v>34</v>
      </c>
      <c r="E374" s="99" t="s">
        <v>168</v>
      </c>
      <c r="F374" s="199">
        <v>10000</v>
      </c>
      <c r="G374" s="6">
        <v>0</v>
      </c>
      <c r="H374" s="6">
        <v>0</v>
      </c>
      <c r="I374" s="6">
        <v>0</v>
      </c>
      <c r="J374" s="6"/>
      <c r="K374" s="6">
        <v>0</v>
      </c>
      <c r="L374" s="5"/>
    </row>
    <row r="375" spans="3:12" x14ac:dyDescent="0.25">
      <c r="C375" s="226"/>
      <c r="D375" s="197" t="s">
        <v>44</v>
      </c>
      <c r="E375" s="99" t="s">
        <v>169</v>
      </c>
      <c r="F375" s="6">
        <v>0</v>
      </c>
      <c r="G375" s="199">
        <v>55000</v>
      </c>
      <c r="H375" s="6">
        <v>0</v>
      </c>
      <c r="I375" s="6">
        <v>0</v>
      </c>
      <c r="J375" s="6"/>
      <c r="K375" s="6">
        <v>0</v>
      </c>
      <c r="L375" s="5"/>
    </row>
    <row r="376" spans="3:12" x14ac:dyDescent="0.25">
      <c r="C376" s="226"/>
      <c r="D376" s="197" t="s">
        <v>46</v>
      </c>
      <c r="E376" s="99" t="s">
        <v>201</v>
      </c>
      <c r="F376" s="6">
        <v>0</v>
      </c>
      <c r="G376" s="6">
        <v>0</v>
      </c>
      <c r="H376" s="6">
        <v>0</v>
      </c>
      <c r="I376" s="199">
        <v>5000</v>
      </c>
      <c r="J376" s="6"/>
      <c r="K376" s="6">
        <v>0</v>
      </c>
      <c r="L376" s="5"/>
    </row>
    <row r="377" spans="3:12" x14ac:dyDescent="0.25">
      <c r="C377" s="226"/>
      <c r="D377" s="197" t="s">
        <v>46</v>
      </c>
      <c r="E377" s="99" t="s">
        <v>201</v>
      </c>
      <c r="F377" s="6">
        <v>0</v>
      </c>
      <c r="G377" s="6">
        <v>0</v>
      </c>
      <c r="H377" s="6">
        <v>0</v>
      </c>
      <c r="I377" s="204">
        <v>5000</v>
      </c>
      <c r="J377" s="6"/>
      <c r="K377" s="6">
        <v>0</v>
      </c>
      <c r="L377" s="5"/>
    </row>
    <row r="378" spans="3:12" x14ac:dyDescent="0.25">
      <c r="C378" s="226"/>
      <c r="D378" s="197" t="s">
        <v>148</v>
      </c>
      <c r="E378" s="99" t="s">
        <v>168</v>
      </c>
      <c r="F378" s="204">
        <v>57000</v>
      </c>
      <c r="G378" s="6">
        <v>0</v>
      </c>
      <c r="H378" s="6">
        <v>0</v>
      </c>
      <c r="I378" s="6">
        <v>0</v>
      </c>
      <c r="J378" s="6"/>
      <c r="K378" s="6">
        <v>0</v>
      </c>
      <c r="L378" s="5"/>
    </row>
    <row r="379" spans="3:12" x14ac:dyDescent="0.25">
      <c r="C379" s="226"/>
      <c r="D379" s="197" t="s">
        <v>40</v>
      </c>
      <c r="E379" s="99" t="s">
        <v>168</v>
      </c>
      <c r="F379" s="204">
        <v>22090</v>
      </c>
      <c r="G379" s="6">
        <v>0</v>
      </c>
      <c r="H379" s="6">
        <v>0</v>
      </c>
      <c r="I379" s="6">
        <v>0</v>
      </c>
      <c r="J379" s="6"/>
      <c r="K379" s="6">
        <v>0</v>
      </c>
      <c r="L379" s="5"/>
    </row>
    <row r="380" spans="3:12" x14ac:dyDescent="0.25">
      <c r="C380" s="226"/>
      <c r="D380" s="197" t="s">
        <v>154</v>
      </c>
      <c r="E380" s="99" t="s">
        <v>172</v>
      </c>
      <c r="F380" s="6">
        <v>0</v>
      </c>
      <c r="G380" s="204">
        <v>55000</v>
      </c>
      <c r="H380" s="6">
        <v>0</v>
      </c>
      <c r="I380" s="6">
        <v>0</v>
      </c>
      <c r="J380" s="6"/>
      <c r="K380" s="6">
        <v>0</v>
      </c>
      <c r="L380" s="5"/>
    </row>
    <row r="381" spans="3:12" x14ac:dyDescent="0.25">
      <c r="C381" s="226"/>
      <c r="D381" s="197" t="s">
        <v>37</v>
      </c>
      <c r="E381" s="99" t="s">
        <v>172</v>
      </c>
      <c r="F381" s="6">
        <v>0</v>
      </c>
      <c r="G381" s="204">
        <v>55000</v>
      </c>
      <c r="H381" s="6">
        <v>0</v>
      </c>
      <c r="I381" s="6">
        <v>0</v>
      </c>
      <c r="J381" s="6"/>
      <c r="K381" s="6">
        <v>0</v>
      </c>
      <c r="L381" s="5"/>
    </row>
    <row r="382" spans="3:12" x14ac:dyDescent="0.25">
      <c r="C382" s="226"/>
      <c r="D382" s="197"/>
      <c r="E382" s="99"/>
      <c r="F382" s="6">
        <v>0</v>
      </c>
      <c r="G382" s="6">
        <v>0</v>
      </c>
      <c r="H382" s="6">
        <v>0</v>
      </c>
      <c r="I382" s="6">
        <v>0</v>
      </c>
      <c r="J382" s="6"/>
      <c r="K382" s="6">
        <v>0</v>
      </c>
      <c r="L382" s="5"/>
    </row>
    <row r="383" spans="3:12" x14ac:dyDescent="0.25">
      <c r="C383" s="226"/>
      <c r="D383" s="197"/>
      <c r="E383" s="99"/>
      <c r="F383" s="6">
        <v>0</v>
      </c>
      <c r="G383" s="6">
        <v>0</v>
      </c>
      <c r="H383" s="6">
        <v>0</v>
      </c>
      <c r="I383" s="6">
        <v>0</v>
      </c>
      <c r="J383" s="6"/>
      <c r="K383" s="6">
        <v>0</v>
      </c>
      <c r="L383" s="5"/>
    </row>
    <row r="384" spans="3:12" x14ac:dyDescent="0.25">
      <c r="C384" s="226"/>
      <c r="D384" s="197"/>
      <c r="E384" s="99"/>
      <c r="F384" s="6">
        <v>0</v>
      </c>
      <c r="G384" s="6">
        <v>0</v>
      </c>
      <c r="H384" s="6">
        <v>0</v>
      </c>
      <c r="I384" s="6">
        <v>0</v>
      </c>
      <c r="J384" s="6"/>
      <c r="K384" s="6">
        <v>0</v>
      </c>
      <c r="L384" s="5"/>
    </row>
    <row r="385" spans="3:12" x14ac:dyDescent="0.25">
      <c r="C385" s="226"/>
      <c r="D385" s="197"/>
      <c r="E385" s="99"/>
      <c r="F385" s="6">
        <v>0</v>
      </c>
      <c r="G385" s="6">
        <v>0</v>
      </c>
      <c r="H385" s="6">
        <v>0</v>
      </c>
      <c r="I385" s="6">
        <v>0</v>
      </c>
      <c r="J385" s="6"/>
      <c r="K385" s="6">
        <v>0</v>
      </c>
      <c r="L385" s="5"/>
    </row>
    <row r="386" spans="3:12" x14ac:dyDescent="0.25">
      <c r="C386" s="226"/>
      <c r="D386" s="197"/>
      <c r="E386" s="99"/>
      <c r="F386" s="6">
        <v>0</v>
      </c>
      <c r="G386" s="6">
        <v>0</v>
      </c>
      <c r="H386" s="6">
        <v>0</v>
      </c>
      <c r="I386" s="6">
        <v>0</v>
      </c>
      <c r="J386" s="6"/>
      <c r="K386" s="6">
        <v>0</v>
      </c>
      <c r="L386" s="5"/>
    </row>
    <row r="387" spans="3:12" x14ac:dyDescent="0.25">
      <c r="C387" s="226"/>
      <c r="D387" s="197"/>
      <c r="E387" s="99"/>
      <c r="F387" s="6">
        <v>0</v>
      </c>
      <c r="G387" s="6">
        <v>0</v>
      </c>
      <c r="H387" s="6">
        <v>0</v>
      </c>
      <c r="I387" s="6">
        <v>0</v>
      </c>
      <c r="J387" s="6"/>
      <c r="K387" s="6">
        <v>0</v>
      </c>
      <c r="L387" s="5"/>
    </row>
    <row r="388" spans="3:12" x14ac:dyDescent="0.25">
      <c r="C388" s="226"/>
      <c r="D388" s="197"/>
      <c r="E388" s="99"/>
      <c r="F388" s="6">
        <v>0</v>
      </c>
      <c r="G388" s="6">
        <v>0</v>
      </c>
      <c r="H388" s="6">
        <v>0</v>
      </c>
      <c r="I388" s="6">
        <v>0</v>
      </c>
      <c r="J388" s="6"/>
      <c r="K388" s="6">
        <v>0</v>
      </c>
      <c r="L388" s="198">
        <f>SUM(F372:F374)+G375</f>
        <v>370692</v>
      </c>
    </row>
    <row r="389" spans="3:12" x14ac:dyDescent="0.25">
      <c r="C389" s="226"/>
      <c r="D389" s="197"/>
      <c r="E389" s="99"/>
      <c r="F389" s="6">
        <v>0</v>
      </c>
      <c r="G389" s="6">
        <v>0</v>
      </c>
      <c r="H389" s="6">
        <v>0</v>
      </c>
      <c r="I389" s="6">
        <v>0</v>
      </c>
      <c r="J389" s="6"/>
      <c r="K389" s="6">
        <v>0</v>
      </c>
      <c r="L389" s="108">
        <f>SUM(F377:I381)</f>
        <v>194090</v>
      </c>
    </row>
    <row r="390" spans="3:12" x14ac:dyDescent="0.25">
      <c r="C390" s="101"/>
      <c r="D390" s="117"/>
      <c r="E390" s="102" t="s">
        <v>27</v>
      </c>
      <c r="F390" s="33">
        <f>SUM(F372:F389)</f>
        <v>394782</v>
      </c>
      <c r="G390" s="33">
        <f>SUM(G372:G389)</f>
        <v>165000</v>
      </c>
      <c r="H390" s="33">
        <f>SUM(H372:H389)</f>
        <v>0</v>
      </c>
      <c r="I390" s="33">
        <f>SUM(I372:I389)</f>
        <v>10000</v>
      </c>
      <c r="J390" s="33">
        <f>SUM(J372:J389)</f>
        <v>0</v>
      </c>
      <c r="K390" s="33">
        <f>SUM(F390:J390)-J390</f>
        <v>569782</v>
      </c>
      <c r="L390" s="16"/>
    </row>
    <row r="391" spans="3:12" x14ac:dyDescent="0.25">
      <c r="C391" s="225">
        <v>22</v>
      </c>
      <c r="D391" s="197" t="s">
        <v>19</v>
      </c>
      <c r="E391" s="99" t="s">
        <v>168</v>
      </c>
      <c r="F391" s="199">
        <v>55794</v>
      </c>
      <c r="G391" s="6">
        <v>0</v>
      </c>
      <c r="H391" s="6">
        <v>0</v>
      </c>
      <c r="I391" s="6">
        <v>0</v>
      </c>
      <c r="J391" s="6"/>
      <c r="K391" s="6">
        <v>0</v>
      </c>
      <c r="L391" s="5"/>
    </row>
    <row r="392" spans="3:12" x14ac:dyDescent="0.25">
      <c r="C392" s="226"/>
      <c r="D392" s="197" t="s">
        <v>22</v>
      </c>
      <c r="E392" s="99" t="s">
        <v>168</v>
      </c>
      <c r="F392" s="199">
        <v>163400</v>
      </c>
      <c r="G392" s="6">
        <v>0</v>
      </c>
      <c r="H392" s="6">
        <v>0</v>
      </c>
      <c r="I392" s="6">
        <v>0</v>
      </c>
      <c r="J392" s="6"/>
      <c r="K392" s="6">
        <v>0</v>
      </c>
      <c r="L392" s="5"/>
    </row>
    <row r="393" spans="3:12" x14ac:dyDescent="0.25">
      <c r="C393" s="226"/>
      <c r="D393" s="197" t="s">
        <v>20</v>
      </c>
      <c r="E393" s="99" t="s">
        <v>168</v>
      </c>
      <c r="F393" s="199">
        <v>14200</v>
      </c>
      <c r="G393" s="6">
        <v>0</v>
      </c>
      <c r="H393" s="6">
        <v>0</v>
      </c>
      <c r="I393" s="6">
        <v>0</v>
      </c>
      <c r="J393" s="6"/>
      <c r="K393" s="6">
        <v>0</v>
      </c>
      <c r="L393" s="5"/>
    </row>
    <row r="394" spans="3:12" x14ac:dyDescent="0.25">
      <c r="C394" s="226"/>
      <c r="D394" s="197" t="s">
        <v>119</v>
      </c>
      <c r="E394" s="99" t="s">
        <v>168</v>
      </c>
      <c r="F394" s="199">
        <v>49743</v>
      </c>
      <c r="G394" s="6">
        <v>0</v>
      </c>
      <c r="H394" s="6">
        <v>0</v>
      </c>
      <c r="I394" s="6">
        <v>0</v>
      </c>
      <c r="J394" s="6"/>
      <c r="K394" s="6">
        <v>0</v>
      </c>
      <c r="L394" s="5"/>
    </row>
    <row r="395" spans="3:12" x14ac:dyDescent="0.25">
      <c r="C395" s="226"/>
      <c r="D395" s="197" t="s">
        <v>37</v>
      </c>
      <c r="E395" s="99" t="s">
        <v>169</v>
      </c>
      <c r="F395" s="6">
        <v>0</v>
      </c>
      <c r="G395" s="199">
        <v>55000</v>
      </c>
      <c r="H395" s="6">
        <v>0</v>
      </c>
      <c r="I395" s="6">
        <v>0</v>
      </c>
      <c r="J395" s="6"/>
      <c r="K395" s="6">
        <v>0</v>
      </c>
      <c r="L395" s="5"/>
    </row>
    <row r="396" spans="3:12" x14ac:dyDescent="0.25">
      <c r="C396" s="226"/>
      <c r="D396" s="197" t="s">
        <v>148</v>
      </c>
      <c r="E396" s="99" t="s">
        <v>168</v>
      </c>
      <c r="F396" s="199">
        <v>121500</v>
      </c>
      <c r="G396" s="6">
        <v>0</v>
      </c>
      <c r="H396" s="6">
        <v>0</v>
      </c>
      <c r="I396" s="6">
        <v>0</v>
      </c>
      <c r="J396" s="6"/>
      <c r="K396" s="6">
        <v>0</v>
      </c>
      <c r="L396" s="5"/>
    </row>
    <row r="397" spans="3:12" x14ac:dyDescent="0.25">
      <c r="C397" s="226"/>
      <c r="D397" s="197" t="s">
        <v>139</v>
      </c>
      <c r="E397" s="99" t="s">
        <v>168</v>
      </c>
      <c r="F397" s="199">
        <v>10000</v>
      </c>
      <c r="G397" s="6">
        <v>0</v>
      </c>
      <c r="H397" s="6">
        <v>0</v>
      </c>
      <c r="I397" s="6">
        <v>0</v>
      </c>
      <c r="J397" s="6"/>
      <c r="K397" s="6">
        <v>0</v>
      </c>
      <c r="L397" s="5"/>
    </row>
    <row r="398" spans="3:12" x14ac:dyDescent="0.25">
      <c r="C398" s="226"/>
      <c r="D398" s="197" t="s">
        <v>40</v>
      </c>
      <c r="E398" s="99" t="s">
        <v>168</v>
      </c>
      <c r="F398" s="200">
        <v>32680</v>
      </c>
      <c r="G398" s="6">
        <v>0</v>
      </c>
      <c r="H398" s="6">
        <v>0</v>
      </c>
      <c r="I398" s="6">
        <v>0</v>
      </c>
      <c r="J398" s="6"/>
      <c r="K398" s="6">
        <v>0</v>
      </c>
      <c r="L398" s="5"/>
    </row>
    <row r="399" spans="3:12" x14ac:dyDescent="0.25">
      <c r="C399" s="226"/>
      <c r="D399" s="197" t="s">
        <v>145</v>
      </c>
      <c r="E399" s="99" t="s">
        <v>172</v>
      </c>
      <c r="F399" s="6">
        <v>0</v>
      </c>
      <c r="G399" s="200">
        <v>55000</v>
      </c>
      <c r="H399" s="6">
        <v>0</v>
      </c>
      <c r="I399" s="6">
        <v>0</v>
      </c>
      <c r="J399" s="6"/>
      <c r="K399" s="6">
        <v>0</v>
      </c>
      <c r="L399" s="5"/>
    </row>
    <row r="400" spans="3:12" x14ac:dyDescent="0.25">
      <c r="C400" s="226"/>
      <c r="D400" s="197" t="s">
        <v>154</v>
      </c>
      <c r="E400" s="99" t="s">
        <v>172</v>
      </c>
      <c r="F400" s="6">
        <v>0</v>
      </c>
      <c r="G400" s="200">
        <v>55000</v>
      </c>
      <c r="H400" s="6">
        <v>0</v>
      </c>
      <c r="I400" s="6">
        <v>0</v>
      </c>
      <c r="J400" s="6"/>
      <c r="K400" s="6">
        <v>0</v>
      </c>
      <c r="L400" s="5"/>
    </row>
    <row r="401" spans="3:12" x14ac:dyDescent="0.25">
      <c r="C401" s="226"/>
      <c r="D401" s="197"/>
      <c r="E401" s="99"/>
      <c r="F401" s="6">
        <v>0</v>
      </c>
      <c r="G401" s="6">
        <v>0</v>
      </c>
      <c r="H401" s="6">
        <v>0</v>
      </c>
      <c r="I401" s="6">
        <v>0</v>
      </c>
      <c r="J401" s="6"/>
      <c r="K401" s="6">
        <v>0</v>
      </c>
      <c r="L401" s="5"/>
    </row>
    <row r="402" spans="3:12" x14ac:dyDescent="0.25">
      <c r="C402" s="226"/>
      <c r="D402" s="197"/>
      <c r="E402" s="99"/>
      <c r="F402" s="6">
        <v>0</v>
      </c>
      <c r="G402" s="6">
        <v>0</v>
      </c>
      <c r="H402" s="6">
        <v>0</v>
      </c>
      <c r="I402" s="6">
        <v>0</v>
      </c>
      <c r="J402" s="6"/>
      <c r="K402" s="6">
        <v>0</v>
      </c>
      <c r="L402" s="5"/>
    </row>
    <row r="403" spans="3:12" x14ac:dyDescent="0.25">
      <c r="C403" s="226"/>
      <c r="D403" s="197"/>
      <c r="E403" s="99"/>
      <c r="F403" s="6">
        <v>0</v>
      </c>
      <c r="G403" s="6">
        <v>0</v>
      </c>
      <c r="H403" s="6">
        <v>0</v>
      </c>
      <c r="I403" s="6">
        <v>0</v>
      </c>
      <c r="J403" s="6"/>
      <c r="K403" s="6">
        <v>0</v>
      </c>
      <c r="L403" s="5"/>
    </row>
    <row r="404" spans="3:12" x14ac:dyDescent="0.25">
      <c r="C404" s="226"/>
      <c r="D404" s="197"/>
      <c r="E404" s="99"/>
      <c r="F404" s="6">
        <v>0</v>
      </c>
      <c r="G404" s="6"/>
      <c r="H404" s="6">
        <v>0</v>
      </c>
      <c r="I404" s="6">
        <v>0</v>
      </c>
      <c r="J404" s="6"/>
      <c r="K404" s="6">
        <v>0</v>
      </c>
      <c r="L404" s="5"/>
    </row>
    <row r="405" spans="3:12" x14ac:dyDescent="0.25">
      <c r="C405" s="226"/>
      <c r="D405" s="197"/>
      <c r="E405" s="99"/>
      <c r="F405" s="6">
        <v>0</v>
      </c>
      <c r="G405" s="6">
        <v>0</v>
      </c>
      <c r="H405" s="6">
        <v>0</v>
      </c>
      <c r="I405" s="6">
        <v>0</v>
      </c>
      <c r="J405" s="6"/>
      <c r="K405" s="6">
        <v>0</v>
      </c>
      <c r="L405" s="5"/>
    </row>
    <row r="406" spans="3:12" x14ac:dyDescent="0.25">
      <c r="C406" s="226"/>
      <c r="D406" s="197"/>
      <c r="E406" s="99"/>
      <c r="F406" s="6">
        <v>0</v>
      </c>
      <c r="G406" s="6">
        <v>0</v>
      </c>
      <c r="H406" s="6">
        <v>0</v>
      </c>
      <c r="I406" s="6">
        <v>0</v>
      </c>
      <c r="J406" s="6"/>
      <c r="K406" s="6">
        <v>0</v>
      </c>
      <c r="L406" s="198">
        <f>SUM(F391:G397)</f>
        <v>469637</v>
      </c>
    </row>
    <row r="407" spans="3:12" x14ac:dyDescent="0.25">
      <c r="C407" s="226"/>
      <c r="D407" s="197"/>
      <c r="E407" s="99"/>
      <c r="F407" s="6">
        <v>0</v>
      </c>
      <c r="G407" s="6">
        <v>0</v>
      </c>
      <c r="H407" s="6">
        <v>0</v>
      </c>
      <c r="I407" s="6">
        <v>0</v>
      </c>
      <c r="J407" s="6"/>
      <c r="K407" s="6">
        <v>0</v>
      </c>
      <c r="L407" s="201">
        <f>SUM(F398+G399+G400)</f>
        <v>142680</v>
      </c>
    </row>
    <row r="408" spans="3:12" x14ac:dyDescent="0.25">
      <c r="C408" s="226"/>
      <c r="D408" s="197"/>
      <c r="E408" s="99"/>
      <c r="F408" s="6">
        <v>0</v>
      </c>
      <c r="G408" s="6">
        <v>0</v>
      </c>
      <c r="H408" s="6">
        <v>0</v>
      </c>
      <c r="I408" s="6">
        <v>0</v>
      </c>
      <c r="J408" s="6"/>
      <c r="K408" s="6">
        <v>0</v>
      </c>
      <c r="L408" s="5"/>
    </row>
    <row r="409" spans="3:12" x14ac:dyDescent="0.25">
      <c r="C409" s="101"/>
      <c r="D409" s="117"/>
      <c r="E409" s="102" t="s">
        <v>27</v>
      </c>
      <c r="F409" s="33">
        <f>SUM(F391:F408)</f>
        <v>447317</v>
      </c>
      <c r="G409" s="33">
        <f>SUM(G391:G408)</f>
        <v>165000</v>
      </c>
      <c r="H409" s="33">
        <f>SUM(H391:H408)</f>
        <v>0</v>
      </c>
      <c r="I409" s="33">
        <f>SUM(I391:I408)</f>
        <v>0</v>
      </c>
      <c r="J409" s="33">
        <f>SUM(J391:J408)</f>
        <v>0</v>
      </c>
      <c r="K409" s="33">
        <f>SUM(F409:J409)-J409</f>
        <v>612317</v>
      </c>
      <c r="L409" s="16"/>
    </row>
    <row r="410" spans="3:12" x14ac:dyDescent="0.25">
      <c r="C410" s="225">
        <v>23</v>
      </c>
      <c r="D410" s="197" t="s">
        <v>34</v>
      </c>
      <c r="E410" s="99" t="s">
        <v>168</v>
      </c>
      <c r="F410" s="199">
        <v>10000</v>
      </c>
      <c r="G410" s="6">
        <v>0</v>
      </c>
      <c r="H410" s="6">
        <v>0</v>
      </c>
      <c r="I410" s="6">
        <v>0</v>
      </c>
      <c r="J410" s="6"/>
      <c r="K410" s="6">
        <v>0</v>
      </c>
      <c r="L410" s="5"/>
    </row>
    <row r="411" spans="3:12" x14ac:dyDescent="0.25">
      <c r="C411" s="226"/>
      <c r="D411" s="99" t="s">
        <v>204</v>
      </c>
      <c r="E411" s="99" t="s">
        <v>168</v>
      </c>
      <c r="F411" s="199">
        <v>21000</v>
      </c>
      <c r="G411" s="6">
        <v>0</v>
      </c>
      <c r="H411" s="6">
        <v>0</v>
      </c>
      <c r="I411" s="6">
        <v>0</v>
      </c>
      <c r="J411" s="6"/>
      <c r="K411" s="6">
        <v>0</v>
      </c>
      <c r="L411" s="5"/>
    </row>
    <row r="412" spans="3:12" x14ac:dyDescent="0.25">
      <c r="C412" s="226"/>
      <c r="D412" s="197" t="s">
        <v>37</v>
      </c>
      <c r="E412" s="99" t="s">
        <v>169</v>
      </c>
      <c r="F412" s="6">
        <v>0</v>
      </c>
      <c r="G412" s="199">
        <v>65000</v>
      </c>
      <c r="H412" s="6">
        <v>0</v>
      </c>
      <c r="I412" s="6">
        <v>0</v>
      </c>
      <c r="J412" s="6"/>
      <c r="K412" s="6">
        <v>0</v>
      </c>
      <c r="L412" s="5"/>
    </row>
    <row r="413" spans="3:12" x14ac:dyDescent="0.25">
      <c r="C413" s="226"/>
      <c r="D413" s="197" t="s">
        <v>19</v>
      </c>
      <c r="E413" s="99" t="s">
        <v>168</v>
      </c>
      <c r="F413" s="200">
        <v>56427</v>
      </c>
      <c r="G413" s="6">
        <v>0</v>
      </c>
      <c r="H413" s="6">
        <v>0</v>
      </c>
      <c r="I413" s="6">
        <v>0</v>
      </c>
      <c r="J413" s="6"/>
      <c r="K413" s="6">
        <v>0</v>
      </c>
      <c r="L413" s="5"/>
    </row>
    <row r="414" spans="3:12" x14ac:dyDescent="0.25">
      <c r="C414" s="226"/>
      <c r="D414" s="197" t="s">
        <v>18</v>
      </c>
      <c r="E414" s="99" t="s">
        <v>168</v>
      </c>
      <c r="F414" s="200">
        <v>22850</v>
      </c>
      <c r="G414" s="6">
        <v>0</v>
      </c>
      <c r="H414" s="6">
        <v>0</v>
      </c>
      <c r="I414" s="6">
        <v>0</v>
      </c>
      <c r="J414" s="6"/>
      <c r="K414" s="6">
        <v>0</v>
      </c>
      <c r="L414" s="5"/>
    </row>
    <row r="415" spans="3:12" x14ac:dyDescent="0.25">
      <c r="C415" s="226"/>
      <c r="D415" s="99" t="s">
        <v>205</v>
      </c>
      <c r="E415" s="99" t="s">
        <v>168</v>
      </c>
      <c r="F415" s="200">
        <v>24649</v>
      </c>
      <c r="G415" s="6">
        <v>0</v>
      </c>
      <c r="H415" s="6">
        <v>0</v>
      </c>
      <c r="I415" s="6">
        <v>0</v>
      </c>
      <c r="J415" s="6"/>
      <c r="K415" s="6">
        <v>0</v>
      </c>
      <c r="L415" s="5"/>
    </row>
    <row r="416" spans="3:12" x14ac:dyDescent="0.25">
      <c r="C416" s="226"/>
      <c r="D416" s="197" t="s">
        <v>44</v>
      </c>
      <c r="E416" s="99" t="s">
        <v>172</v>
      </c>
      <c r="F416" s="6">
        <v>0</v>
      </c>
      <c r="G416" s="200">
        <v>75000</v>
      </c>
      <c r="H416" s="6">
        <v>0</v>
      </c>
      <c r="I416" s="6">
        <v>0</v>
      </c>
      <c r="J416" s="6"/>
      <c r="K416" s="6">
        <v>0</v>
      </c>
      <c r="L416" s="5"/>
    </row>
    <row r="417" spans="3:12" x14ac:dyDescent="0.25">
      <c r="C417" s="226"/>
      <c r="D417" s="197" t="s">
        <v>145</v>
      </c>
      <c r="E417" s="99" t="s">
        <v>172</v>
      </c>
      <c r="F417" s="6">
        <v>0</v>
      </c>
      <c r="G417" s="200">
        <v>75000</v>
      </c>
      <c r="H417" s="6">
        <v>0</v>
      </c>
      <c r="I417" s="6">
        <v>0</v>
      </c>
      <c r="J417" s="6"/>
      <c r="K417" s="6">
        <v>0</v>
      </c>
      <c r="L417" s="5"/>
    </row>
    <row r="418" spans="3:12" x14ac:dyDescent="0.25">
      <c r="C418" s="226"/>
      <c r="D418" s="197"/>
      <c r="E418" s="99"/>
      <c r="F418" s="6">
        <v>0</v>
      </c>
      <c r="G418" s="6">
        <v>0</v>
      </c>
      <c r="H418" s="6">
        <v>0</v>
      </c>
      <c r="I418" s="6">
        <v>0</v>
      </c>
      <c r="J418" s="6"/>
      <c r="K418" s="6">
        <v>0</v>
      </c>
      <c r="L418" s="5"/>
    </row>
    <row r="419" spans="3:12" x14ac:dyDescent="0.25">
      <c r="C419" s="226"/>
      <c r="D419" s="197"/>
      <c r="E419" s="99"/>
      <c r="F419" s="6">
        <v>0</v>
      </c>
      <c r="G419" s="6">
        <v>0</v>
      </c>
      <c r="H419" s="6">
        <v>0</v>
      </c>
      <c r="I419" s="6">
        <v>0</v>
      </c>
      <c r="J419" s="6"/>
      <c r="K419" s="6">
        <v>0</v>
      </c>
      <c r="L419" s="5"/>
    </row>
    <row r="420" spans="3:12" x14ac:dyDescent="0.25">
      <c r="C420" s="226"/>
      <c r="D420" s="197"/>
      <c r="E420" s="99"/>
      <c r="F420" s="6">
        <v>0</v>
      </c>
      <c r="G420" s="6">
        <v>0</v>
      </c>
      <c r="H420" s="6">
        <v>0</v>
      </c>
      <c r="I420" s="6">
        <v>0</v>
      </c>
      <c r="J420" s="6"/>
      <c r="K420" s="6">
        <v>0</v>
      </c>
      <c r="L420" s="5"/>
    </row>
    <row r="421" spans="3:12" x14ac:dyDescent="0.25">
      <c r="C421" s="226"/>
      <c r="D421" s="197"/>
      <c r="E421" s="99"/>
      <c r="F421" s="6">
        <v>0</v>
      </c>
      <c r="G421" s="6">
        <v>0</v>
      </c>
      <c r="H421" s="6">
        <v>0</v>
      </c>
      <c r="I421" s="6">
        <v>0</v>
      </c>
      <c r="J421" s="6"/>
      <c r="K421" s="6">
        <v>0</v>
      </c>
      <c r="L421" s="5"/>
    </row>
    <row r="422" spans="3:12" x14ac:dyDescent="0.25">
      <c r="C422" s="226"/>
      <c r="D422" s="197"/>
      <c r="E422" s="99"/>
      <c r="F422" s="6">
        <v>0</v>
      </c>
      <c r="G422" s="6">
        <v>0</v>
      </c>
      <c r="H422" s="6">
        <v>0</v>
      </c>
      <c r="I422" s="6">
        <v>0</v>
      </c>
      <c r="J422" s="6"/>
      <c r="K422" s="6">
        <v>0</v>
      </c>
      <c r="L422" s="198">
        <f>SUM(F410:G412)</f>
        <v>96000</v>
      </c>
    </row>
    <row r="423" spans="3:12" x14ac:dyDescent="0.25">
      <c r="C423" s="226"/>
      <c r="D423" s="197"/>
      <c r="E423" s="99"/>
      <c r="F423" s="6">
        <v>0</v>
      </c>
      <c r="G423" s="6">
        <v>0</v>
      </c>
      <c r="H423" s="6">
        <v>0</v>
      </c>
      <c r="I423" s="6">
        <v>0</v>
      </c>
      <c r="J423" s="6"/>
      <c r="K423" s="6">
        <v>0</v>
      </c>
      <c r="L423" s="201">
        <f>SUM(F413:F415)+G416+G417</f>
        <v>253926</v>
      </c>
    </row>
    <row r="424" spans="3:12" ht="12.75" customHeight="1" x14ac:dyDescent="0.25">
      <c r="C424" s="226"/>
      <c r="D424" s="197"/>
      <c r="E424" s="99"/>
      <c r="F424" s="6">
        <v>0</v>
      </c>
      <c r="G424" s="6">
        <v>0</v>
      </c>
      <c r="H424" s="6">
        <v>0</v>
      </c>
      <c r="I424" s="6">
        <v>0</v>
      </c>
      <c r="J424" s="6"/>
      <c r="K424" s="6">
        <v>0</v>
      </c>
      <c r="L424" s="108">
        <f>L422+L423</f>
        <v>349926</v>
      </c>
    </row>
    <row r="425" spans="3:12" x14ac:dyDescent="0.25">
      <c r="C425" s="101"/>
      <c r="D425" s="117"/>
      <c r="E425" s="102" t="s">
        <v>27</v>
      </c>
      <c r="F425" s="33">
        <f>SUM(F410:F424)</f>
        <v>134926</v>
      </c>
      <c r="G425" s="33">
        <f>SUM(G410:G424)</f>
        <v>215000</v>
      </c>
      <c r="H425" s="33">
        <f>SUM(H410:H424)</f>
        <v>0</v>
      </c>
      <c r="I425" s="33">
        <f>SUM(I410:I424)</f>
        <v>0</v>
      </c>
      <c r="J425" s="33">
        <f>SUM(J410:J424)</f>
        <v>0</v>
      </c>
      <c r="K425" s="33">
        <f>SUM(F425:J425)-J425</f>
        <v>349926</v>
      </c>
      <c r="L425" s="16"/>
    </row>
    <row r="426" spans="3:12" x14ac:dyDescent="0.25">
      <c r="C426" s="225">
        <v>24</v>
      </c>
      <c r="D426" s="197" t="s">
        <v>40</v>
      </c>
      <c r="E426" s="99" t="s">
        <v>168</v>
      </c>
      <c r="F426" s="212">
        <v>21690</v>
      </c>
      <c r="G426" s="6">
        <v>0</v>
      </c>
      <c r="H426" s="6">
        <v>0</v>
      </c>
      <c r="I426" s="6">
        <v>0</v>
      </c>
      <c r="J426" s="6"/>
      <c r="K426" s="6">
        <v>0</v>
      </c>
      <c r="L426" s="5"/>
    </row>
    <row r="427" spans="3:12" x14ac:dyDescent="0.25">
      <c r="C427" s="226"/>
      <c r="D427" s="197" t="s">
        <v>23</v>
      </c>
      <c r="E427" s="99" t="s">
        <v>168</v>
      </c>
      <c r="F427" s="212">
        <v>58880</v>
      </c>
      <c r="G427" s="6">
        <v>0</v>
      </c>
      <c r="H427" s="6">
        <v>0</v>
      </c>
      <c r="I427" s="6">
        <v>0</v>
      </c>
      <c r="J427" s="6"/>
      <c r="K427" s="6">
        <v>0</v>
      </c>
      <c r="L427" s="5"/>
    </row>
    <row r="428" spans="3:12" x14ac:dyDescent="0.25">
      <c r="C428" s="226"/>
      <c r="D428" s="197" t="s">
        <v>34</v>
      </c>
      <c r="E428" s="99" t="s">
        <v>168</v>
      </c>
      <c r="F428" s="212">
        <v>10000</v>
      </c>
      <c r="G428" s="6">
        <v>0</v>
      </c>
      <c r="H428" s="6">
        <v>0</v>
      </c>
      <c r="I428" s="6">
        <v>0</v>
      </c>
      <c r="J428" s="6"/>
      <c r="K428" s="6">
        <v>0</v>
      </c>
      <c r="L428" s="5"/>
    </row>
    <row r="429" spans="3:12" x14ac:dyDescent="0.25">
      <c r="C429" s="226"/>
      <c r="D429" s="197" t="s">
        <v>127</v>
      </c>
      <c r="E429" s="99" t="s">
        <v>168</v>
      </c>
      <c r="F429" s="212">
        <v>58000</v>
      </c>
      <c r="G429" s="6">
        <v>0</v>
      </c>
      <c r="H429" s="6">
        <v>0</v>
      </c>
      <c r="I429" s="6">
        <v>0</v>
      </c>
      <c r="J429" s="6"/>
      <c r="K429" s="6">
        <v>0</v>
      </c>
      <c r="L429" s="5"/>
    </row>
    <row r="430" spans="3:12" x14ac:dyDescent="0.25">
      <c r="C430" s="226"/>
      <c r="D430" s="197" t="s">
        <v>145</v>
      </c>
      <c r="E430" s="99" t="s">
        <v>169</v>
      </c>
      <c r="F430" s="6">
        <v>0</v>
      </c>
      <c r="G430" s="212">
        <v>55000</v>
      </c>
      <c r="H430" s="6">
        <v>0</v>
      </c>
      <c r="I430" s="6">
        <v>0</v>
      </c>
      <c r="J430" s="6"/>
      <c r="K430" s="6">
        <v>0</v>
      </c>
      <c r="L430" s="5"/>
    </row>
    <row r="431" spans="3:12" x14ac:dyDescent="0.25">
      <c r="C431" s="226"/>
      <c r="D431" s="197" t="s">
        <v>19</v>
      </c>
      <c r="E431" s="99" t="s">
        <v>168</v>
      </c>
      <c r="F431" s="204">
        <v>4100</v>
      </c>
      <c r="G431" s="6">
        <v>0</v>
      </c>
      <c r="H431" s="6">
        <v>0</v>
      </c>
      <c r="I431" s="6">
        <v>0</v>
      </c>
      <c r="J431" s="6"/>
      <c r="K431" s="6">
        <v>0</v>
      </c>
      <c r="L431" s="5"/>
    </row>
    <row r="432" spans="3:12" x14ac:dyDescent="0.25">
      <c r="C432" s="226"/>
      <c r="D432" s="197" t="s">
        <v>19</v>
      </c>
      <c r="E432" s="99" t="s">
        <v>168</v>
      </c>
      <c r="F432" s="204">
        <v>3411</v>
      </c>
      <c r="G432" s="6">
        <v>0</v>
      </c>
      <c r="H432" s="6">
        <v>0</v>
      </c>
      <c r="I432" s="6">
        <v>0</v>
      </c>
      <c r="J432" s="6"/>
      <c r="K432" s="6">
        <v>0</v>
      </c>
      <c r="L432" s="5"/>
    </row>
    <row r="433" spans="3:12" x14ac:dyDescent="0.25">
      <c r="C433" s="226"/>
      <c r="D433" s="197" t="s">
        <v>19</v>
      </c>
      <c r="E433" s="99" t="s">
        <v>168</v>
      </c>
      <c r="F433" s="204">
        <v>24657</v>
      </c>
      <c r="G433" s="6">
        <v>0</v>
      </c>
      <c r="H433" s="6">
        <v>0</v>
      </c>
      <c r="I433" s="6">
        <v>0</v>
      </c>
      <c r="J433" s="6"/>
      <c r="K433" s="6">
        <v>0</v>
      </c>
      <c r="L433" s="5"/>
    </row>
    <row r="434" spans="3:12" x14ac:dyDescent="0.25">
      <c r="C434" s="226"/>
      <c r="D434" s="197" t="s">
        <v>18</v>
      </c>
      <c r="E434" s="99" t="s">
        <v>168</v>
      </c>
      <c r="F434" s="204">
        <v>21750</v>
      </c>
      <c r="G434" s="6">
        <v>0</v>
      </c>
      <c r="H434" s="6">
        <v>0</v>
      </c>
      <c r="I434" s="6">
        <v>0</v>
      </c>
      <c r="J434" s="6"/>
      <c r="K434" s="6">
        <v>0</v>
      </c>
      <c r="L434" s="5"/>
    </row>
    <row r="435" spans="3:12" x14ac:dyDescent="0.25">
      <c r="C435" s="226"/>
      <c r="D435" s="197" t="s">
        <v>40</v>
      </c>
      <c r="E435" s="99" t="s">
        <v>168</v>
      </c>
      <c r="F435" s="204">
        <v>3500</v>
      </c>
      <c r="G435" s="6">
        <v>0</v>
      </c>
      <c r="H435" s="6">
        <v>0</v>
      </c>
      <c r="I435" s="6">
        <v>0</v>
      </c>
      <c r="J435" s="6"/>
      <c r="K435" s="6">
        <v>0</v>
      </c>
      <c r="L435" s="5"/>
    </row>
    <row r="436" spans="3:12" x14ac:dyDescent="0.25">
      <c r="C436" s="226"/>
      <c r="D436" s="99" t="s">
        <v>177</v>
      </c>
      <c r="E436" s="99" t="s">
        <v>177</v>
      </c>
      <c r="F436" s="6">
        <v>0</v>
      </c>
      <c r="G436" s="6">
        <v>0</v>
      </c>
      <c r="H436" s="6">
        <v>0</v>
      </c>
      <c r="I436" s="210">
        <v>25000</v>
      </c>
      <c r="J436" s="6"/>
      <c r="K436" s="6">
        <v>0</v>
      </c>
      <c r="L436" s="5"/>
    </row>
    <row r="437" spans="3:12" x14ac:dyDescent="0.25">
      <c r="C437" s="226"/>
      <c r="D437" s="99" t="s">
        <v>122</v>
      </c>
      <c r="E437" s="99" t="s">
        <v>168</v>
      </c>
      <c r="F437" s="204">
        <v>9000</v>
      </c>
      <c r="G437" s="6">
        <v>0</v>
      </c>
      <c r="H437" s="6">
        <v>0</v>
      </c>
      <c r="I437" s="6">
        <v>0</v>
      </c>
      <c r="J437" s="6"/>
      <c r="K437" s="6">
        <v>0</v>
      </c>
      <c r="L437" s="5"/>
    </row>
    <row r="438" spans="3:12" x14ac:dyDescent="0.25">
      <c r="C438" s="226"/>
      <c r="D438" s="197" t="s">
        <v>22</v>
      </c>
      <c r="E438" s="99" t="s">
        <v>168</v>
      </c>
      <c r="F438" s="204">
        <v>77000</v>
      </c>
      <c r="G438" s="6">
        <v>0</v>
      </c>
      <c r="H438" s="6">
        <v>0</v>
      </c>
      <c r="I438" s="6"/>
      <c r="J438" s="6"/>
      <c r="K438" s="6">
        <v>0</v>
      </c>
      <c r="L438" s="5"/>
    </row>
    <row r="439" spans="3:12" x14ac:dyDescent="0.25">
      <c r="C439" s="226"/>
      <c r="D439" s="99" t="s">
        <v>175</v>
      </c>
      <c r="E439" s="99" t="s">
        <v>175</v>
      </c>
      <c r="F439" s="6">
        <v>0</v>
      </c>
      <c r="G439" s="6">
        <v>0</v>
      </c>
      <c r="H439" s="6">
        <v>0</v>
      </c>
      <c r="I439" s="220">
        <v>5000</v>
      </c>
      <c r="J439" s="6"/>
      <c r="K439" s="6">
        <v>0</v>
      </c>
      <c r="L439" s="5"/>
    </row>
    <row r="440" spans="3:12" x14ac:dyDescent="0.25">
      <c r="C440" s="226"/>
      <c r="D440" s="197" t="s">
        <v>148</v>
      </c>
      <c r="E440" s="99" t="s">
        <v>206</v>
      </c>
      <c r="F440" s="204">
        <v>215000</v>
      </c>
      <c r="G440" s="6">
        <v>0</v>
      </c>
      <c r="H440" s="6">
        <v>0</v>
      </c>
      <c r="I440" s="6">
        <v>0</v>
      </c>
      <c r="J440" s="6"/>
      <c r="K440" s="6">
        <v>0</v>
      </c>
      <c r="L440" s="108">
        <f>SUM(F426+F427+F428+F429+G430)</f>
        <v>203570</v>
      </c>
    </row>
    <row r="441" spans="3:12" x14ac:dyDescent="0.25">
      <c r="C441" s="226"/>
      <c r="D441" s="197" t="s">
        <v>37</v>
      </c>
      <c r="E441" s="99" t="s">
        <v>172</v>
      </c>
      <c r="F441" s="6">
        <v>0</v>
      </c>
      <c r="G441" s="204">
        <v>55000</v>
      </c>
      <c r="H441" s="6">
        <v>0</v>
      </c>
      <c r="I441" s="6">
        <v>0</v>
      </c>
      <c r="J441" s="6"/>
      <c r="K441" s="6">
        <v>0</v>
      </c>
      <c r="L441" s="203">
        <f>SUM(F431:F440)+G441+G442+I439</f>
        <v>473418</v>
      </c>
    </row>
    <row r="442" spans="3:12" x14ac:dyDescent="0.25">
      <c r="C442" s="227"/>
      <c r="D442" s="197" t="s">
        <v>44</v>
      </c>
      <c r="E442" s="99" t="s">
        <v>172</v>
      </c>
      <c r="F442" s="6">
        <v>0</v>
      </c>
      <c r="G442" s="204">
        <v>55000</v>
      </c>
      <c r="H442" s="6">
        <v>0</v>
      </c>
      <c r="I442" s="6">
        <v>0</v>
      </c>
      <c r="J442" s="6"/>
      <c r="K442" s="6">
        <v>0</v>
      </c>
      <c r="L442" s="108">
        <f>L440+L441</f>
        <v>676988</v>
      </c>
    </row>
    <row r="443" spans="3:12" x14ac:dyDescent="0.25">
      <c r="C443" s="101"/>
      <c r="D443" s="117"/>
      <c r="E443" s="102" t="s">
        <v>27</v>
      </c>
      <c r="F443" s="33">
        <f>SUM(F426:F442)</f>
        <v>506988</v>
      </c>
      <c r="G443" s="33">
        <f>SUM(G426:G442)</f>
        <v>165000</v>
      </c>
      <c r="H443" s="33">
        <f>SUM(H426:H442)</f>
        <v>0</v>
      </c>
      <c r="I443" s="33">
        <f>SUM(I426:I442)</f>
        <v>30000</v>
      </c>
      <c r="J443" s="33">
        <f>SUM(J426:J442)</f>
        <v>0</v>
      </c>
      <c r="K443" s="33">
        <f>SUM(F443:J443)-J443</f>
        <v>701988</v>
      </c>
      <c r="L443" s="16"/>
    </row>
    <row r="444" spans="3:12" x14ac:dyDescent="0.25">
      <c r="C444" s="225">
        <v>25</v>
      </c>
      <c r="D444" s="197" t="s">
        <v>148</v>
      </c>
      <c r="E444" s="15" t="s">
        <v>168</v>
      </c>
      <c r="F444" s="199">
        <v>79300</v>
      </c>
      <c r="G444" s="6">
        <v>0</v>
      </c>
      <c r="H444" s="6">
        <v>0</v>
      </c>
      <c r="I444" s="6">
        <v>0</v>
      </c>
      <c r="J444" s="6"/>
      <c r="K444" s="6">
        <v>0</v>
      </c>
      <c r="L444" s="5"/>
    </row>
    <row r="445" spans="3:12" x14ac:dyDescent="0.25">
      <c r="C445" s="226"/>
      <c r="D445" s="197" t="s">
        <v>24</v>
      </c>
      <c r="E445" s="99" t="s">
        <v>168</v>
      </c>
      <c r="F445" s="199">
        <v>288323</v>
      </c>
      <c r="G445" s="6">
        <v>0</v>
      </c>
      <c r="H445" s="6">
        <v>0</v>
      </c>
      <c r="I445" s="6">
        <v>0</v>
      </c>
      <c r="J445" s="6"/>
      <c r="K445" s="6">
        <v>0</v>
      </c>
      <c r="L445" s="5"/>
    </row>
    <row r="446" spans="3:12" x14ac:dyDescent="0.25">
      <c r="C446" s="226"/>
      <c r="D446" s="197" t="s">
        <v>119</v>
      </c>
      <c r="E446" s="99" t="s">
        <v>168</v>
      </c>
      <c r="F446" s="199">
        <v>15277</v>
      </c>
      <c r="G446" s="6">
        <v>0</v>
      </c>
      <c r="H446" s="6">
        <v>0</v>
      </c>
      <c r="I446" s="6">
        <v>0</v>
      </c>
      <c r="J446" s="6"/>
      <c r="K446" s="6">
        <v>0</v>
      </c>
      <c r="L446" s="5"/>
    </row>
    <row r="447" spans="3:12" x14ac:dyDescent="0.25">
      <c r="C447" s="226"/>
      <c r="D447" s="197" t="s">
        <v>37</v>
      </c>
      <c r="E447" s="99" t="s">
        <v>169</v>
      </c>
      <c r="F447" s="6">
        <v>0</v>
      </c>
      <c r="G447" s="199">
        <v>55000</v>
      </c>
      <c r="H447" s="6">
        <v>0</v>
      </c>
      <c r="I447" s="6">
        <v>0</v>
      </c>
      <c r="J447" s="6"/>
      <c r="K447" s="6">
        <v>0</v>
      </c>
      <c r="L447" s="5"/>
    </row>
    <row r="448" spans="3:12" x14ac:dyDescent="0.25">
      <c r="C448" s="226"/>
      <c r="D448" s="197" t="s">
        <v>40</v>
      </c>
      <c r="E448" s="99" t="s">
        <v>168</v>
      </c>
      <c r="F448" s="204">
        <v>10990</v>
      </c>
      <c r="G448" s="6">
        <v>0</v>
      </c>
      <c r="H448" s="6">
        <v>0</v>
      </c>
      <c r="I448" s="6">
        <v>0</v>
      </c>
      <c r="J448" s="6"/>
      <c r="K448" s="6">
        <v>0</v>
      </c>
      <c r="L448" s="5"/>
    </row>
    <row r="449" spans="3:12" x14ac:dyDescent="0.25">
      <c r="C449" s="226"/>
      <c r="D449" s="197" t="s">
        <v>19</v>
      </c>
      <c r="E449" s="99" t="s">
        <v>168</v>
      </c>
      <c r="F449" s="204">
        <v>23977</v>
      </c>
      <c r="G449" s="6">
        <v>0</v>
      </c>
      <c r="H449" s="6">
        <v>0</v>
      </c>
      <c r="I449" s="6">
        <v>0</v>
      </c>
      <c r="J449" s="6"/>
      <c r="K449" s="6">
        <v>0</v>
      </c>
      <c r="L449" s="5"/>
    </row>
    <row r="450" spans="3:12" x14ac:dyDescent="0.25">
      <c r="C450" s="226"/>
      <c r="D450" s="3" t="s">
        <v>170</v>
      </c>
      <c r="E450" s="99" t="s">
        <v>201</v>
      </c>
      <c r="F450" s="6">
        <v>0</v>
      </c>
      <c r="G450" s="6">
        <v>0</v>
      </c>
      <c r="H450" s="6">
        <v>0</v>
      </c>
      <c r="I450" s="204">
        <v>5000</v>
      </c>
      <c r="J450" s="6"/>
      <c r="K450" s="6">
        <v>0</v>
      </c>
      <c r="L450" s="5"/>
    </row>
    <row r="451" spans="3:12" x14ac:dyDescent="0.25">
      <c r="C451" s="226"/>
      <c r="D451" s="197" t="s">
        <v>154</v>
      </c>
      <c r="E451" s="99" t="s">
        <v>172</v>
      </c>
      <c r="F451" s="6">
        <v>0</v>
      </c>
      <c r="G451" s="204">
        <v>55000</v>
      </c>
      <c r="H451" s="6">
        <v>0</v>
      </c>
      <c r="I451" s="6">
        <v>0</v>
      </c>
      <c r="J451" s="6"/>
      <c r="K451" s="6">
        <v>0</v>
      </c>
      <c r="L451" s="5"/>
    </row>
    <row r="452" spans="3:12" x14ac:dyDescent="0.25">
      <c r="C452" s="226"/>
      <c r="D452" s="197" t="s">
        <v>44</v>
      </c>
      <c r="E452" s="99" t="s">
        <v>172</v>
      </c>
      <c r="F452" s="6">
        <v>0</v>
      </c>
      <c r="G452" s="204">
        <v>55000</v>
      </c>
      <c r="H452" s="6">
        <v>0</v>
      </c>
      <c r="I452" s="6">
        <v>0</v>
      </c>
      <c r="J452" s="6"/>
      <c r="K452" s="6">
        <v>0</v>
      </c>
      <c r="L452" s="5"/>
    </row>
    <row r="453" spans="3:12" x14ac:dyDescent="0.25">
      <c r="C453" s="226"/>
      <c r="D453" s="3" t="s">
        <v>207</v>
      </c>
      <c r="E453" s="99" t="s">
        <v>208</v>
      </c>
      <c r="F453" s="6">
        <v>0</v>
      </c>
      <c r="G453" s="6">
        <v>0</v>
      </c>
      <c r="H453" s="6">
        <v>0</v>
      </c>
      <c r="I453" s="204">
        <v>5000</v>
      </c>
      <c r="J453" s="6"/>
      <c r="K453" s="6">
        <v>0</v>
      </c>
      <c r="L453" s="5"/>
    </row>
    <row r="454" spans="3:12" x14ac:dyDescent="0.25">
      <c r="C454" s="226"/>
      <c r="D454" s="197"/>
      <c r="E454" s="99"/>
      <c r="F454" s="6">
        <v>0</v>
      </c>
      <c r="G454" s="6">
        <v>0</v>
      </c>
      <c r="H454" s="6">
        <v>0</v>
      </c>
      <c r="I454" s="6">
        <v>0</v>
      </c>
      <c r="J454" s="6"/>
      <c r="K454" s="6">
        <v>0</v>
      </c>
      <c r="L454" s="5"/>
    </row>
    <row r="455" spans="3:12" x14ac:dyDescent="0.25">
      <c r="C455" s="226"/>
      <c r="D455" s="197"/>
      <c r="E455" s="99"/>
      <c r="F455" s="6">
        <v>0</v>
      </c>
      <c r="G455" s="6">
        <v>0</v>
      </c>
      <c r="H455" s="6">
        <v>0</v>
      </c>
      <c r="I455" s="6">
        <v>0</v>
      </c>
      <c r="J455" s="6"/>
      <c r="K455" s="6">
        <v>0</v>
      </c>
      <c r="L455" s="5"/>
    </row>
    <row r="456" spans="3:12" x14ac:dyDescent="0.25">
      <c r="C456" s="226"/>
      <c r="D456" s="197"/>
      <c r="E456" s="99"/>
      <c r="F456" s="6">
        <v>0</v>
      </c>
      <c r="G456" s="6">
        <v>0</v>
      </c>
      <c r="H456" s="6">
        <v>0</v>
      </c>
      <c r="I456" s="6">
        <v>0</v>
      </c>
      <c r="J456" s="6"/>
      <c r="K456" s="6">
        <v>0</v>
      </c>
      <c r="L456" s="5"/>
    </row>
    <row r="457" spans="3:12" x14ac:dyDescent="0.25">
      <c r="C457" s="226"/>
      <c r="D457" s="197"/>
      <c r="E457" s="99"/>
      <c r="F457" s="6">
        <v>0</v>
      </c>
      <c r="G457" s="6">
        <v>0</v>
      </c>
      <c r="H457" s="6">
        <v>0</v>
      </c>
      <c r="I457" s="6">
        <v>0</v>
      </c>
      <c r="J457" s="6"/>
      <c r="K457" s="6">
        <v>0</v>
      </c>
      <c r="L457" s="198">
        <f>SUM(F444:G447)</f>
        <v>437900</v>
      </c>
    </row>
    <row r="458" spans="3:12" x14ac:dyDescent="0.25">
      <c r="C458" s="226"/>
      <c r="D458" s="197"/>
      <c r="E458" s="99"/>
      <c r="F458" s="6">
        <v>0</v>
      </c>
      <c r="G458" s="6">
        <v>0</v>
      </c>
      <c r="H458" s="6">
        <v>0</v>
      </c>
      <c r="I458" s="6">
        <v>0</v>
      </c>
      <c r="J458" s="6"/>
      <c r="K458" s="6">
        <v>0</v>
      </c>
      <c r="L458" s="203">
        <f>SUM(F448:F449)++I450+G451+G452+I453</f>
        <v>154967</v>
      </c>
    </row>
    <row r="459" spans="3:12" x14ac:dyDescent="0.25">
      <c r="C459" s="227"/>
      <c r="D459" s="197"/>
      <c r="E459" s="99"/>
      <c r="F459" s="6">
        <v>0</v>
      </c>
      <c r="G459" s="6">
        <v>0</v>
      </c>
      <c r="H459" s="6">
        <v>0</v>
      </c>
      <c r="I459" s="6">
        <v>0</v>
      </c>
      <c r="J459" s="6"/>
      <c r="K459" s="6">
        <v>0</v>
      </c>
      <c r="L459" s="108">
        <f>L457+L458</f>
        <v>592867</v>
      </c>
    </row>
    <row r="460" spans="3:12" x14ac:dyDescent="0.25">
      <c r="C460" s="101"/>
      <c r="D460" s="117"/>
      <c r="E460" s="102" t="s">
        <v>27</v>
      </c>
      <c r="F460" s="33">
        <f>SUM(F444:F459)</f>
        <v>417867</v>
      </c>
      <c r="G460" s="33">
        <f>SUM(G444:G459)</f>
        <v>165000</v>
      </c>
      <c r="H460" s="33">
        <f>SUM(H444:H459)</f>
        <v>0</v>
      </c>
      <c r="I460" s="33">
        <f>SUM(I444:I459)</f>
        <v>10000</v>
      </c>
      <c r="J460" s="33">
        <f>SUM(J444:J459)</f>
        <v>0</v>
      </c>
      <c r="K460" s="33">
        <f>SUM(F460:J460)-J460</f>
        <v>592867</v>
      </c>
      <c r="L460" s="16"/>
    </row>
    <row r="461" spans="3:12" x14ac:dyDescent="0.25">
      <c r="C461" s="225">
        <v>26</v>
      </c>
      <c r="D461" s="197" t="s">
        <v>34</v>
      </c>
      <c r="E461" s="99" t="s">
        <v>168</v>
      </c>
      <c r="F461" s="212">
        <v>10000</v>
      </c>
      <c r="G461" s="6">
        <v>0</v>
      </c>
      <c r="H461" s="6">
        <v>0</v>
      </c>
      <c r="I461" s="6">
        <v>0</v>
      </c>
      <c r="J461" s="6"/>
      <c r="K461" s="6">
        <v>0</v>
      </c>
      <c r="L461" s="5"/>
    </row>
    <row r="462" spans="3:12" x14ac:dyDescent="0.25">
      <c r="C462" s="226"/>
      <c r="D462" s="197" t="s">
        <v>20</v>
      </c>
      <c r="E462" s="99" t="s">
        <v>168</v>
      </c>
      <c r="F462" s="212">
        <v>27287</v>
      </c>
      <c r="G462" s="6">
        <v>0</v>
      </c>
      <c r="H462" s="6">
        <v>0</v>
      </c>
      <c r="I462" s="6">
        <v>0</v>
      </c>
      <c r="J462" s="6"/>
      <c r="K462" s="6">
        <v>0</v>
      </c>
      <c r="L462" s="5"/>
    </row>
    <row r="463" spans="3:12" x14ac:dyDescent="0.25">
      <c r="C463" s="226"/>
      <c r="D463" s="197" t="s">
        <v>119</v>
      </c>
      <c r="E463" s="99" t="s">
        <v>168</v>
      </c>
      <c r="F463" s="212">
        <v>66324</v>
      </c>
      <c r="G463" s="6">
        <v>0</v>
      </c>
      <c r="H463" s="6">
        <v>0</v>
      </c>
      <c r="I463" s="6">
        <v>0</v>
      </c>
      <c r="J463" s="6"/>
      <c r="K463" s="6">
        <v>0</v>
      </c>
      <c r="L463" s="5"/>
    </row>
    <row r="464" spans="3:12" x14ac:dyDescent="0.25">
      <c r="C464" s="226"/>
      <c r="D464" s="99" t="s">
        <v>170</v>
      </c>
      <c r="E464" s="99" t="s">
        <v>201</v>
      </c>
      <c r="F464" s="6">
        <v>0</v>
      </c>
      <c r="G464" s="6"/>
      <c r="H464" s="6">
        <v>0</v>
      </c>
      <c r="I464" s="212">
        <v>10000</v>
      </c>
      <c r="J464" s="6"/>
      <c r="K464" s="6">
        <v>0</v>
      </c>
      <c r="L464" s="5"/>
    </row>
    <row r="465" spans="3:12" x14ac:dyDescent="0.25">
      <c r="C465" s="226"/>
      <c r="D465" s="197" t="s">
        <v>145</v>
      </c>
      <c r="E465" s="99" t="s">
        <v>169</v>
      </c>
      <c r="F465" s="6">
        <v>0</v>
      </c>
      <c r="G465" s="212">
        <v>55000</v>
      </c>
      <c r="H465" s="6">
        <v>0</v>
      </c>
      <c r="I465" s="6">
        <v>0</v>
      </c>
      <c r="J465" s="6"/>
      <c r="K465" s="6">
        <v>0</v>
      </c>
      <c r="L465" s="5"/>
    </row>
    <row r="466" spans="3:12" x14ac:dyDescent="0.25">
      <c r="C466" s="226"/>
      <c r="D466" s="197" t="s">
        <v>19</v>
      </c>
      <c r="E466" s="99" t="s">
        <v>168</v>
      </c>
      <c r="F466" s="204">
        <v>55514</v>
      </c>
      <c r="G466" s="6">
        <v>0</v>
      </c>
      <c r="H466" s="6">
        <v>0</v>
      </c>
      <c r="I466" s="6">
        <v>0</v>
      </c>
      <c r="J466" s="6"/>
      <c r="K466" s="6">
        <v>0</v>
      </c>
      <c r="L466" s="5"/>
    </row>
    <row r="467" spans="3:12" x14ac:dyDescent="0.25">
      <c r="C467" s="226"/>
      <c r="D467" s="197" t="s">
        <v>18</v>
      </c>
      <c r="E467" s="99" t="s">
        <v>168</v>
      </c>
      <c r="F467" s="204">
        <v>16850</v>
      </c>
      <c r="G467" s="6">
        <v>0</v>
      </c>
      <c r="H467" s="6">
        <v>0</v>
      </c>
      <c r="I467" s="6">
        <v>0</v>
      </c>
      <c r="J467" s="6"/>
      <c r="K467" s="6">
        <v>0</v>
      </c>
      <c r="L467" s="5"/>
    </row>
    <row r="468" spans="3:12" x14ac:dyDescent="0.25">
      <c r="C468" s="226"/>
      <c r="D468" s="3" t="s">
        <v>191</v>
      </c>
      <c r="E468" s="99" t="s">
        <v>168</v>
      </c>
      <c r="F468" s="204">
        <v>35000</v>
      </c>
      <c r="G468" s="6">
        <v>0</v>
      </c>
      <c r="H468" s="6">
        <v>0</v>
      </c>
      <c r="I468" s="6">
        <v>0</v>
      </c>
      <c r="J468" s="6"/>
      <c r="K468" s="6">
        <v>0</v>
      </c>
      <c r="L468" s="5"/>
    </row>
    <row r="469" spans="3:12" x14ac:dyDescent="0.25">
      <c r="C469" s="226"/>
      <c r="D469" s="197" t="s">
        <v>148</v>
      </c>
      <c r="E469" s="99" t="s">
        <v>168</v>
      </c>
      <c r="F469" s="204">
        <v>82800</v>
      </c>
      <c r="G469" s="6">
        <v>0</v>
      </c>
      <c r="H469" s="6">
        <v>0</v>
      </c>
      <c r="I469" s="6">
        <v>0</v>
      </c>
      <c r="J469" s="6"/>
      <c r="K469" s="6">
        <v>0</v>
      </c>
      <c r="L469" s="5"/>
    </row>
    <row r="470" spans="3:12" x14ac:dyDescent="0.25">
      <c r="C470" s="226"/>
      <c r="D470" s="197" t="s">
        <v>127</v>
      </c>
      <c r="E470" s="99" t="s">
        <v>168</v>
      </c>
      <c r="F470" s="204">
        <v>22000</v>
      </c>
      <c r="G470" s="6">
        <v>0</v>
      </c>
      <c r="H470" s="6">
        <v>0</v>
      </c>
      <c r="I470" s="6">
        <v>0</v>
      </c>
      <c r="J470" s="6"/>
      <c r="K470" s="6">
        <v>0</v>
      </c>
      <c r="L470" s="5"/>
    </row>
    <row r="471" spans="3:12" x14ac:dyDescent="0.25">
      <c r="C471" s="226"/>
      <c r="D471" s="197" t="s">
        <v>154</v>
      </c>
      <c r="E471" s="99" t="s">
        <v>172</v>
      </c>
      <c r="F471" s="6">
        <v>0</v>
      </c>
      <c r="G471" s="204">
        <v>50000</v>
      </c>
      <c r="H471" s="6">
        <v>0</v>
      </c>
      <c r="I471" s="6">
        <v>0</v>
      </c>
      <c r="J471" s="6"/>
      <c r="K471" s="6">
        <v>0</v>
      </c>
      <c r="L471" s="5"/>
    </row>
    <row r="472" spans="3:12" x14ac:dyDescent="0.25">
      <c r="C472" s="226"/>
      <c r="D472" s="197" t="s">
        <v>44</v>
      </c>
      <c r="E472" s="99" t="s">
        <v>172</v>
      </c>
      <c r="F472" s="6">
        <v>0</v>
      </c>
      <c r="G472" s="204">
        <v>50000</v>
      </c>
      <c r="H472" s="6">
        <v>0</v>
      </c>
      <c r="I472" s="6">
        <v>0</v>
      </c>
      <c r="J472" s="6"/>
      <c r="K472" s="6">
        <v>0</v>
      </c>
      <c r="L472" s="5"/>
    </row>
    <row r="473" spans="3:12" x14ac:dyDescent="0.25">
      <c r="C473" s="226"/>
      <c r="D473" s="197"/>
      <c r="E473" s="99"/>
      <c r="F473" s="6">
        <v>0</v>
      </c>
      <c r="G473" s="6">
        <v>0</v>
      </c>
      <c r="H473" s="6">
        <v>0</v>
      </c>
      <c r="I473" s="6">
        <v>0</v>
      </c>
      <c r="J473" s="6"/>
      <c r="K473" s="6">
        <v>0</v>
      </c>
      <c r="L473" s="5"/>
    </row>
    <row r="474" spans="3:12" x14ac:dyDescent="0.25">
      <c r="C474" s="226"/>
      <c r="D474" s="197"/>
      <c r="E474" s="99"/>
      <c r="F474" s="6">
        <v>0</v>
      </c>
      <c r="G474" s="6">
        <v>0</v>
      </c>
      <c r="H474" s="6">
        <v>0</v>
      </c>
      <c r="I474" s="6">
        <v>0</v>
      </c>
      <c r="J474" s="6"/>
      <c r="K474" s="6">
        <v>0</v>
      </c>
      <c r="L474" s="5"/>
    </row>
    <row r="475" spans="3:12" x14ac:dyDescent="0.25">
      <c r="C475" s="226"/>
      <c r="D475" s="197"/>
      <c r="E475" s="99"/>
      <c r="F475" s="6">
        <v>0</v>
      </c>
      <c r="G475" s="6">
        <v>0</v>
      </c>
      <c r="H475" s="6">
        <v>0</v>
      </c>
      <c r="I475" s="6">
        <v>0</v>
      </c>
      <c r="J475" s="6"/>
      <c r="K475" s="6">
        <v>0</v>
      </c>
      <c r="L475" s="108">
        <f>SUM(F461+F462+F463+I464+G465)</f>
        <v>168611</v>
      </c>
    </row>
    <row r="476" spans="3:12" x14ac:dyDescent="0.25">
      <c r="C476" s="227"/>
      <c r="D476" s="197"/>
      <c r="E476" s="99"/>
      <c r="F476" s="6">
        <v>0</v>
      </c>
      <c r="G476" s="6">
        <v>0</v>
      </c>
      <c r="H476" s="6">
        <v>0</v>
      </c>
      <c r="I476" s="6">
        <v>0</v>
      </c>
      <c r="J476" s="6"/>
      <c r="K476" s="6">
        <v>0</v>
      </c>
      <c r="L476" s="203">
        <f>SUM(F466:F470)+G471+G472</f>
        <v>312164</v>
      </c>
    </row>
    <row r="477" spans="3:12" x14ac:dyDescent="0.25">
      <c r="C477" s="101"/>
      <c r="D477" s="117"/>
      <c r="E477" s="102" t="s">
        <v>27</v>
      </c>
      <c r="F477" s="33">
        <f>SUM(F461:F476)</f>
        <v>315775</v>
      </c>
      <c r="G477" s="33">
        <f>SUM(G461:G476)</f>
        <v>155000</v>
      </c>
      <c r="H477" s="33">
        <f>SUM(H461:H476)</f>
        <v>0</v>
      </c>
      <c r="I477" s="33">
        <f>SUM(I461:I476)</f>
        <v>10000</v>
      </c>
      <c r="J477" s="33">
        <f>SUM(J461:J476)</f>
        <v>0</v>
      </c>
      <c r="K477" s="33">
        <f>SUM(F477:J477)-J477</f>
        <v>480775</v>
      </c>
      <c r="L477" s="16">
        <f>L475+L476</f>
        <v>480775</v>
      </c>
    </row>
    <row r="478" spans="3:12" x14ac:dyDescent="0.25">
      <c r="C478" s="225">
        <v>27</v>
      </c>
      <c r="D478" s="197" t="s">
        <v>148</v>
      </c>
      <c r="E478" s="15" t="s">
        <v>168</v>
      </c>
      <c r="F478" s="199">
        <v>62500</v>
      </c>
      <c r="G478" s="6">
        <v>0</v>
      </c>
      <c r="H478" s="6">
        <v>0</v>
      </c>
      <c r="I478" s="6">
        <v>0</v>
      </c>
      <c r="J478" s="6"/>
      <c r="K478" s="6">
        <v>0</v>
      </c>
      <c r="L478" s="5"/>
    </row>
    <row r="479" spans="3:12" x14ac:dyDescent="0.25">
      <c r="C479" s="226"/>
      <c r="D479" s="197" t="s">
        <v>34</v>
      </c>
      <c r="E479" s="15" t="s">
        <v>168</v>
      </c>
      <c r="F479" s="199">
        <v>10000</v>
      </c>
      <c r="G479" s="6">
        <v>0</v>
      </c>
      <c r="H479" s="6">
        <v>0</v>
      </c>
      <c r="I479" s="6">
        <v>0</v>
      </c>
      <c r="J479" s="6"/>
      <c r="K479" s="6">
        <v>0</v>
      </c>
      <c r="L479" s="5"/>
    </row>
    <row r="480" spans="3:12" x14ac:dyDescent="0.25">
      <c r="C480" s="226"/>
      <c r="D480" s="197" t="s">
        <v>101</v>
      </c>
      <c r="E480" s="99" t="s">
        <v>210</v>
      </c>
      <c r="F480" s="6">
        <v>0</v>
      </c>
      <c r="G480" s="6">
        <v>0</v>
      </c>
      <c r="H480" s="6">
        <v>0</v>
      </c>
      <c r="I480" s="199">
        <v>160000</v>
      </c>
      <c r="J480" s="6"/>
      <c r="K480" s="6">
        <v>0</v>
      </c>
      <c r="L480" s="5"/>
    </row>
    <row r="481" spans="3:12" x14ac:dyDescent="0.25">
      <c r="C481" s="226"/>
      <c r="D481" s="197" t="s">
        <v>101</v>
      </c>
      <c r="E481" s="99" t="s">
        <v>211</v>
      </c>
      <c r="F481" s="6">
        <v>0</v>
      </c>
      <c r="G481" s="6">
        <v>0</v>
      </c>
      <c r="H481" s="6">
        <v>0</v>
      </c>
      <c r="I481" s="199">
        <v>16000</v>
      </c>
      <c r="J481" s="6"/>
      <c r="K481" s="6">
        <v>0</v>
      </c>
      <c r="L481" s="5"/>
    </row>
    <row r="482" spans="3:12" x14ac:dyDescent="0.25">
      <c r="C482" s="226"/>
      <c r="D482" s="197" t="s">
        <v>44</v>
      </c>
      <c r="E482" s="99" t="s">
        <v>169</v>
      </c>
      <c r="F482" s="6">
        <v>0</v>
      </c>
      <c r="G482" s="199">
        <v>65000</v>
      </c>
      <c r="H482" s="6">
        <v>0</v>
      </c>
      <c r="I482" s="6">
        <v>0</v>
      </c>
      <c r="J482" s="6"/>
      <c r="K482" s="6">
        <v>0</v>
      </c>
      <c r="L482" s="5"/>
    </row>
    <row r="483" spans="3:12" x14ac:dyDescent="0.25">
      <c r="C483" s="226"/>
      <c r="D483" s="197" t="s">
        <v>19</v>
      </c>
      <c r="E483" s="15" t="s">
        <v>168</v>
      </c>
      <c r="F483" s="200">
        <v>51907</v>
      </c>
      <c r="G483" s="6">
        <v>0</v>
      </c>
      <c r="H483" s="6">
        <v>0</v>
      </c>
      <c r="I483" s="6">
        <v>0</v>
      </c>
      <c r="J483" s="6"/>
      <c r="K483" s="6">
        <v>0</v>
      </c>
      <c r="L483" s="5"/>
    </row>
    <row r="484" spans="3:12" x14ac:dyDescent="0.25">
      <c r="C484" s="226"/>
      <c r="D484" s="197" t="s">
        <v>18</v>
      </c>
      <c r="E484" s="15" t="s">
        <v>168</v>
      </c>
      <c r="F484" s="200">
        <v>10850</v>
      </c>
      <c r="G484" s="6">
        <v>0</v>
      </c>
      <c r="H484" s="6">
        <v>0</v>
      </c>
      <c r="I484" s="6">
        <v>0</v>
      </c>
      <c r="J484" s="6"/>
      <c r="K484" s="6">
        <v>0</v>
      </c>
      <c r="L484" s="5"/>
    </row>
    <row r="485" spans="3:12" x14ac:dyDescent="0.25">
      <c r="C485" s="226"/>
      <c r="D485" s="99" t="s">
        <v>212</v>
      </c>
      <c r="E485" s="15" t="s">
        <v>213</v>
      </c>
      <c r="F485" s="6">
        <v>0</v>
      </c>
      <c r="G485" s="214">
        <v>133200</v>
      </c>
      <c r="H485" s="6">
        <v>0</v>
      </c>
      <c r="I485" s="6">
        <v>0</v>
      </c>
      <c r="J485" s="6"/>
      <c r="K485" s="6">
        <v>0</v>
      </c>
      <c r="L485" s="5"/>
    </row>
    <row r="486" spans="3:12" x14ac:dyDescent="0.25">
      <c r="C486" s="226"/>
      <c r="D486" s="197" t="s">
        <v>148</v>
      </c>
      <c r="E486" s="15" t="s">
        <v>168</v>
      </c>
      <c r="F486" s="200">
        <v>62500</v>
      </c>
      <c r="G486" s="6">
        <v>0</v>
      </c>
      <c r="H486" s="6">
        <v>0</v>
      </c>
      <c r="I486" s="6">
        <v>0</v>
      </c>
      <c r="J486" s="6"/>
      <c r="K486" s="6">
        <v>0</v>
      </c>
      <c r="L486" s="5"/>
    </row>
    <row r="487" spans="3:12" x14ac:dyDescent="0.25">
      <c r="C487" s="226"/>
      <c r="D487" s="197" t="s">
        <v>40</v>
      </c>
      <c r="E487" s="15" t="s">
        <v>168</v>
      </c>
      <c r="F487" s="200">
        <v>31780</v>
      </c>
      <c r="G487" s="200"/>
      <c r="H487" s="6">
        <v>0</v>
      </c>
      <c r="I487" s="6">
        <v>0</v>
      </c>
      <c r="J487" s="6"/>
      <c r="K487" s="6">
        <v>0</v>
      </c>
      <c r="L487" s="5"/>
    </row>
    <row r="488" spans="3:12" x14ac:dyDescent="0.25">
      <c r="C488" s="226"/>
      <c r="D488" s="197" t="s">
        <v>37</v>
      </c>
      <c r="E488" s="99" t="s">
        <v>172</v>
      </c>
      <c r="F488" s="6">
        <v>0</v>
      </c>
      <c r="G488" s="200">
        <v>50000</v>
      </c>
      <c r="H488" s="6">
        <v>0</v>
      </c>
      <c r="I488" s="6">
        <v>0</v>
      </c>
      <c r="J488" s="6"/>
      <c r="K488" s="6">
        <v>0</v>
      </c>
      <c r="L488" s="5"/>
    </row>
    <row r="489" spans="3:12" x14ac:dyDescent="0.25">
      <c r="C489" s="226"/>
      <c r="D489" s="197" t="s">
        <v>145</v>
      </c>
      <c r="E489" s="99" t="s">
        <v>172</v>
      </c>
      <c r="F489" s="6">
        <v>0</v>
      </c>
      <c r="G489" s="200">
        <v>50000</v>
      </c>
      <c r="H489" s="6">
        <v>0</v>
      </c>
      <c r="I489" s="6">
        <v>0</v>
      </c>
      <c r="J489" s="6"/>
      <c r="K489" s="6">
        <v>0</v>
      </c>
      <c r="L489" s="5"/>
    </row>
    <row r="490" spans="3:12" x14ac:dyDescent="0.25">
      <c r="C490" s="226"/>
      <c r="D490" s="197"/>
      <c r="E490" s="99"/>
      <c r="F490" s="6">
        <v>0</v>
      </c>
      <c r="G490" s="6">
        <v>0</v>
      </c>
      <c r="H490" s="6">
        <v>0</v>
      </c>
      <c r="I490" s="6">
        <v>0</v>
      </c>
      <c r="J490" s="6"/>
      <c r="K490" s="6">
        <v>0</v>
      </c>
      <c r="L490" s="5"/>
    </row>
    <row r="491" spans="3:12" x14ac:dyDescent="0.25">
      <c r="C491" s="226"/>
      <c r="D491" s="197"/>
      <c r="E491" s="99"/>
      <c r="F491" s="6">
        <v>0</v>
      </c>
      <c r="G491" s="6">
        <v>0</v>
      </c>
      <c r="H491" s="6">
        <v>0</v>
      </c>
      <c r="I491" s="6">
        <v>0</v>
      </c>
      <c r="J491" s="6"/>
      <c r="K491" s="6">
        <v>0</v>
      </c>
      <c r="L491" s="5"/>
    </row>
    <row r="492" spans="3:12" x14ac:dyDescent="0.25">
      <c r="C492" s="226"/>
      <c r="D492" s="197"/>
      <c r="E492" s="99"/>
      <c r="F492" s="6">
        <v>0</v>
      </c>
      <c r="G492" s="6">
        <v>0</v>
      </c>
      <c r="H492" s="6">
        <v>0</v>
      </c>
      <c r="I492" s="6">
        <v>0</v>
      </c>
      <c r="J492" s="6"/>
      <c r="K492" s="6">
        <v>0</v>
      </c>
      <c r="L492" s="198">
        <f>SUM(F478:F479)+I480+I481+G482</f>
        <v>313500</v>
      </c>
    </row>
    <row r="493" spans="3:12" x14ac:dyDescent="0.25">
      <c r="C493" s="227"/>
      <c r="D493" s="197"/>
      <c r="E493" s="99"/>
      <c r="F493" s="6">
        <v>0</v>
      </c>
      <c r="G493" s="6">
        <v>0</v>
      </c>
      <c r="H493" s="6">
        <v>0</v>
      </c>
      <c r="I493" s="6">
        <v>0</v>
      </c>
      <c r="J493" s="6"/>
      <c r="K493" s="6">
        <v>0</v>
      </c>
      <c r="L493" s="201">
        <f>SUM(F483+F484+F486+F487+G488+G489)</f>
        <v>257037</v>
      </c>
    </row>
    <row r="494" spans="3:12" x14ac:dyDescent="0.25">
      <c r="C494" s="101"/>
      <c r="D494" s="117"/>
      <c r="E494" s="102" t="s">
        <v>27</v>
      </c>
      <c r="F494" s="33">
        <f>SUM(F478:F493)</f>
        <v>229537</v>
      </c>
      <c r="G494" s="33">
        <f>SUM(G478:G493)</f>
        <v>298200</v>
      </c>
      <c r="H494" s="33">
        <f>SUM(H478:H493)</f>
        <v>0</v>
      </c>
      <c r="I494" s="33">
        <f>SUM(I478:I493)</f>
        <v>176000</v>
      </c>
      <c r="J494" s="33">
        <f>SUM(J478:J493)</f>
        <v>0</v>
      </c>
      <c r="K494" s="33">
        <f>SUM(F494:J494)-J494</f>
        <v>703737</v>
      </c>
      <c r="L494" s="16">
        <f>L492+L493</f>
        <v>570537</v>
      </c>
    </row>
    <row r="495" spans="3:12" x14ac:dyDescent="0.25">
      <c r="C495" s="225">
        <v>28</v>
      </c>
      <c r="D495" s="197" t="s">
        <v>34</v>
      </c>
      <c r="E495" s="15" t="s">
        <v>168</v>
      </c>
      <c r="F495" s="199">
        <v>10000</v>
      </c>
      <c r="G495" s="6">
        <v>0</v>
      </c>
      <c r="H495" s="6">
        <v>0</v>
      </c>
      <c r="I495" s="6">
        <v>0</v>
      </c>
      <c r="J495" s="6"/>
      <c r="K495" s="6">
        <v>0</v>
      </c>
      <c r="L495" s="5"/>
    </row>
    <row r="496" spans="3:12" x14ac:dyDescent="0.25">
      <c r="C496" s="226"/>
      <c r="D496" s="197" t="s">
        <v>119</v>
      </c>
      <c r="E496" s="15" t="s">
        <v>168</v>
      </c>
      <c r="F496" s="199">
        <v>17743</v>
      </c>
      <c r="G496" s="6">
        <v>0</v>
      </c>
      <c r="H496" s="6">
        <v>0</v>
      </c>
      <c r="I496" s="6">
        <v>0</v>
      </c>
      <c r="J496" s="6"/>
      <c r="K496" s="6">
        <v>0</v>
      </c>
      <c r="L496" s="5"/>
    </row>
    <row r="497" spans="3:12" x14ac:dyDescent="0.25">
      <c r="C497" s="226"/>
      <c r="D497" s="197" t="s">
        <v>24</v>
      </c>
      <c r="E497" s="15" t="s">
        <v>168</v>
      </c>
      <c r="F497" s="199">
        <v>288323</v>
      </c>
      <c r="G497" s="6">
        <v>0</v>
      </c>
      <c r="H497" s="6">
        <v>0</v>
      </c>
      <c r="I497" s="6">
        <v>0</v>
      </c>
      <c r="J497" s="6"/>
      <c r="K497" s="6">
        <v>0</v>
      </c>
      <c r="L497" s="5"/>
    </row>
    <row r="498" spans="3:12" x14ac:dyDescent="0.25">
      <c r="C498" s="226"/>
      <c r="D498" s="197" t="s">
        <v>22</v>
      </c>
      <c r="E498" s="15" t="s">
        <v>168</v>
      </c>
      <c r="F498" s="199">
        <v>247300</v>
      </c>
      <c r="G498" s="6">
        <v>0</v>
      </c>
      <c r="H498" s="6">
        <v>0</v>
      </c>
      <c r="I498" s="6">
        <v>0</v>
      </c>
      <c r="J498" s="6"/>
      <c r="K498" s="6">
        <v>0</v>
      </c>
      <c r="L498" s="5"/>
    </row>
    <row r="499" spans="3:12" x14ac:dyDescent="0.25">
      <c r="C499" s="226"/>
      <c r="D499" s="3" t="s">
        <v>214</v>
      </c>
      <c r="E499" s="15" t="s">
        <v>215</v>
      </c>
      <c r="F499" s="6">
        <v>0</v>
      </c>
      <c r="G499" s="6">
        <v>0</v>
      </c>
      <c r="H499" s="6">
        <v>0</v>
      </c>
      <c r="I499" s="199">
        <v>40000</v>
      </c>
      <c r="J499" s="6"/>
      <c r="K499" s="6">
        <v>0</v>
      </c>
      <c r="L499" s="5"/>
    </row>
    <row r="500" spans="3:12" x14ac:dyDescent="0.25">
      <c r="C500" s="226"/>
      <c r="D500" s="197" t="s">
        <v>44</v>
      </c>
      <c r="E500" s="99" t="s">
        <v>169</v>
      </c>
      <c r="F500" s="6">
        <v>0</v>
      </c>
      <c r="G500" s="199">
        <v>55000</v>
      </c>
      <c r="H500" s="6">
        <v>0</v>
      </c>
      <c r="I500" s="6">
        <v>0</v>
      </c>
      <c r="J500" s="6"/>
      <c r="K500" s="6">
        <v>0</v>
      </c>
      <c r="L500" s="5"/>
    </row>
    <row r="501" spans="3:12" x14ac:dyDescent="0.25">
      <c r="C501" s="226"/>
      <c r="D501" s="197" t="s">
        <v>40</v>
      </c>
      <c r="E501" s="15" t="s">
        <v>168</v>
      </c>
      <c r="F501" s="200">
        <v>15390</v>
      </c>
      <c r="G501" s="6">
        <v>0</v>
      </c>
      <c r="H501" s="6">
        <v>0</v>
      </c>
      <c r="I501" s="6">
        <v>0</v>
      </c>
      <c r="J501" s="6"/>
      <c r="K501" s="6">
        <v>0</v>
      </c>
      <c r="L501" s="5"/>
    </row>
    <row r="502" spans="3:12" x14ac:dyDescent="0.25">
      <c r="C502" s="226"/>
      <c r="D502" s="197" t="s">
        <v>40</v>
      </c>
      <c r="E502" s="15" t="s">
        <v>168</v>
      </c>
      <c r="F502" s="200">
        <v>3270</v>
      </c>
      <c r="G502" s="6">
        <v>0</v>
      </c>
      <c r="H502" s="6">
        <v>0</v>
      </c>
      <c r="I502" s="6">
        <v>0</v>
      </c>
      <c r="J502" s="6"/>
      <c r="K502" s="6">
        <v>0</v>
      </c>
      <c r="L502" s="5"/>
    </row>
    <row r="503" spans="3:12" x14ac:dyDescent="0.25">
      <c r="C503" s="226"/>
      <c r="D503" s="197" t="s">
        <v>122</v>
      </c>
      <c r="E503" s="99" t="s">
        <v>216</v>
      </c>
      <c r="F503" s="6"/>
      <c r="G503" s="6">
        <v>0</v>
      </c>
      <c r="H503" s="6">
        <v>0</v>
      </c>
      <c r="I503" s="200">
        <v>8000</v>
      </c>
      <c r="J503" s="6"/>
      <c r="K503" s="6">
        <v>0</v>
      </c>
      <c r="L503" s="5"/>
    </row>
    <row r="504" spans="3:12" x14ac:dyDescent="0.25">
      <c r="C504" s="226"/>
      <c r="D504" s="197" t="s">
        <v>148</v>
      </c>
      <c r="E504" s="15" t="s">
        <v>168</v>
      </c>
      <c r="F504" s="214">
        <v>76300</v>
      </c>
      <c r="G504" s="6">
        <v>0</v>
      </c>
      <c r="H504" s="6">
        <v>0</v>
      </c>
      <c r="I504" s="6"/>
      <c r="J504" s="6"/>
      <c r="K504" s="6">
        <v>0</v>
      </c>
      <c r="L504" s="5"/>
    </row>
    <row r="505" spans="3:12" x14ac:dyDescent="0.25">
      <c r="C505" s="226"/>
      <c r="D505" s="197" t="s">
        <v>37</v>
      </c>
      <c r="E505" s="99" t="s">
        <v>172</v>
      </c>
      <c r="F505" s="6">
        <v>0</v>
      </c>
      <c r="G505" s="214">
        <v>65000</v>
      </c>
      <c r="H505" s="6">
        <v>0</v>
      </c>
      <c r="I505" s="6">
        <v>0</v>
      </c>
      <c r="J505" s="6"/>
      <c r="K505" s="6">
        <v>0</v>
      </c>
      <c r="L505" s="5"/>
    </row>
    <row r="506" spans="3:12" x14ac:dyDescent="0.25">
      <c r="C506" s="226"/>
      <c r="D506" s="197" t="s">
        <v>145</v>
      </c>
      <c r="E506" s="99" t="s">
        <v>172</v>
      </c>
      <c r="F506" s="6">
        <v>0</v>
      </c>
      <c r="G506" s="214">
        <v>65000</v>
      </c>
      <c r="H506" s="6">
        <v>0</v>
      </c>
      <c r="I506" s="6">
        <v>0</v>
      </c>
      <c r="J506" s="6"/>
      <c r="K506" s="6">
        <v>0</v>
      </c>
      <c r="L506" s="5"/>
    </row>
    <row r="507" spans="3:12" x14ac:dyDescent="0.25">
      <c r="C507" s="226"/>
      <c r="D507" s="197"/>
      <c r="E507" s="99"/>
      <c r="F507" s="6">
        <v>0</v>
      </c>
      <c r="G507" s="6">
        <v>0</v>
      </c>
      <c r="H507" s="6">
        <v>0</v>
      </c>
      <c r="I507" s="6">
        <v>0</v>
      </c>
      <c r="J507" s="6"/>
      <c r="K507" s="6">
        <v>0</v>
      </c>
      <c r="L507" s="5"/>
    </row>
    <row r="508" spans="3:12" x14ac:dyDescent="0.25">
      <c r="C508" s="226"/>
      <c r="D508" s="197"/>
      <c r="E508" s="99"/>
      <c r="F508" s="6">
        <v>0</v>
      </c>
      <c r="G508" s="6">
        <v>0</v>
      </c>
      <c r="H508" s="6">
        <v>0</v>
      </c>
      <c r="I508" s="6">
        <v>0</v>
      </c>
      <c r="J508" s="6"/>
      <c r="K508" s="6">
        <v>0</v>
      </c>
      <c r="L508" s="5"/>
    </row>
    <row r="509" spans="3:12" x14ac:dyDescent="0.25">
      <c r="C509" s="226"/>
      <c r="D509" s="197"/>
      <c r="E509" s="99"/>
      <c r="F509" s="6">
        <v>0</v>
      </c>
      <c r="G509" s="6">
        <v>0</v>
      </c>
      <c r="H509" s="6">
        <v>0</v>
      </c>
      <c r="I509" s="6">
        <v>0</v>
      </c>
      <c r="J509" s="6"/>
      <c r="K509" s="6">
        <v>0</v>
      </c>
      <c r="L509" s="198">
        <f>SUM(F495:F498)+G500+I499</f>
        <v>658366</v>
      </c>
    </row>
    <row r="510" spans="3:12" x14ac:dyDescent="0.25">
      <c r="C510" s="227"/>
      <c r="D510" s="197"/>
      <c r="E510" s="99"/>
      <c r="F510" s="6">
        <v>0</v>
      </c>
      <c r="G510" s="6">
        <v>0</v>
      </c>
      <c r="H510" s="6">
        <v>0</v>
      </c>
      <c r="I510" s="6">
        <v>0</v>
      </c>
      <c r="J510" s="6"/>
      <c r="K510" s="6">
        <v>0</v>
      </c>
      <c r="L510" s="201">
        <f>SUM(F501+F502+I503)</f>
        <v>26660</v>
      </c>
    </row>
    <row r="511" spans="3:12" x14ac:dyDescent="0.25">
      <c r="C511" s="101"/>
      <c r="D511" s="117"/>
      <c r="E511" s="102" t="s">
        <v>27</v>
      </c>
      <c r="F511" s="33">
        <f>SUM(F495:F510)</f>
        <v>658326</v>
      </c>
      <c r="G511" s="33">
        <f>SUM(G495:G510)</f>
        <v>185000</v>
      </c>
      <c r="H511" s="33">
        <f>SUM(H495:H510)</f>
        <v>0</v>
      </c>
      <c r="I511" s="33">
        <f>SUM(I495:I510)</f>
        <v>48000</v>
      </c>
      <c r="J511" s="33">
        <f>SUM(J495:J510)</f>
        <v>0</v>
      </c>
      <c r="K511" s="33">
        <f>SUM(F511:J511)-J511</f>
        <v>891326</v>
      </c>
      <c r="L511" s="16"/>
    </row>
    <row r="512" spans="3:12" x14ac:dyDescent="0.25">
      <c r="C512" s="225">
        <v>29</v>
      </c>
      <c r="D512" s="197" t="s">
        <v>18</v>
      </c>
      <c r="E512" s="15" t="s">
        <v>168</v>
      </c>
      <c r="F512" s="211">
        <v>42840</v>
      </c>
      <c r="G512" s="6">
        <v>0</v>
      </c>
      <c r="H512" s="6">
        <v>0</v>
      </c>
      <c r="I512" s="6">
        <v>0</v>
      </c>
      <c r="J512" s="6"/>
      <c r="K512" s="6">
        <v>0</v>
      </c>
      <c r="L512" s="5"/>
    </row>
    <row r="513" spans="3:12" x14ac:dyDescent="0.25">
      <c r="C513" s="226"/>
      <c r="D513" s="197" t="s">
        <v>40</v>
      </c>
      <c r="E513" s="15" t="s">
        <v>168</v>
      </c>
      <c r="F513" s="211">
        <v>6960</v>
      </c>
      <c r="G513" s="6">
        <v>0</v>
      </c>
      <c r="H513" s="6">
        <v>0</v>
      </c>
      <c r="I513" s="6">
        <v>0</v>
      </c>
      <c r="J513" s="6"/>
      <c r="K513" s="6">
        <v>0</v>
      </c>
      <c r="L513" s="5"/>
    </row>
    <row r="514" spans="3:12" x14ac:dyDescent="0.25">
      <c r="C514" s="226"/>
      <c r="D514" s="99" t="s">
        <v>217</v>
      </c>
      <c r="E514" s="15" t="s">
        <v>168</v>
      </c>
      <c r="F514" s="211">
        <v>3500</v>
      </c>
      <c r="G514" s="6">
        <v>0</v>
      </c>
      <c r="H514" s="6">
        <v>0</v>
      </c>
      <c r="I514" s="6">
        <v>0</v>
      </c>
      <c r="J514" s="6"/>
      <c r="K514" s="6">
        <v>0</v>
      </c>
      <c r="L514" s="5"/>
    </row>
    <row r="515" spans="3:12" x14ac:dyDescent="0.25">
      <c r="C515" s="226"/>
      <c r="D515" s="197" t="s">
        <v>22</v>
      </c>
      <c r="E515" s="99" t="s">
        <v>218</v>
      </c>
      <c r="F515" s="211">
        <v>89400</v>
      </c>
      <c r="G515" s="6">
        <v>0</v>
      </c>
      <c r="H515" s="6">
        <v>0</v>
      </c>
      <c r="I515" s="6">
        <v>0</v>
      </c>
      <c r="J515" s="6"/>
      <c r="K515" s="6">
        <v>0</v>
      </c>
      <c r="L515" s="5"/>
    </row>
    <row r="516" spans="3:12" x14ac:dyDescent="0.25">
      <c r="C516" s="226"/>
      <c r="D516" s="197" t="s">
        <v>139</v>
      </c>
      <c r="E516" s="99" t="s">
        <v>168</v>
      </c>
      <c r="F516" s="211">
        <v>10000</v>
      </c>
      <c r="G516" s="6">
        <v>0</v>
      </c>
      <c r="H516" s="6">
        <v>0</v>
      </c>
      <c r="I516" s="6">
        <v>0</v>
      </c>
      <c r="J516" s="6"/>
      <c r="K516" s="6">
        <v>0</v>
      </c>
      <c r="L516" s="5"/>
    </row>
    <row r="517" spans="3:12" x14ac:dyDescent="0.25">
      <c r="C517" s="226"/>
      <c r="D517" s="197" t="s">
        <v>20</v>
      </c>
      <c r="E517" s="99" t="s">
        <v>20</v>
      </c>
      <c r="F517" s="211">
        <v>14220</v>
      </c>
      <c r="G517" s="6">
        <v>0</v>
      </c>
      <c r="H517" s="6">
        <v>0</v>
      </c>
      <c r="I517" s="6">
        <v>0</v>
      </c>
      <c r="J517" s="6"/>
      <c r="K517" s="6">
        <v>0</v>
      </c>
      <c r="L517" s="5"/>
    </row>
    <row r="518" spans="3:12" x14ac:dyDescent="0.25">
      <c r="C518" s="226"/>
      <c r="D518" s="197" t="s">
        <v>119</v>
      </c>
      <c r="E518" s="99" t="s">
        <v>168</v>
      </c>
      <c r="F518" s="211">
        <v>33162</v>
      </c>
      <c r="G518" s="6">
        <v>0</v>
      </c>
      <c r="H518" s="6">
        <v>0</v>
      </c>
      <c r="I518" s="6">
        <v>0</v>
      </c>
      <c r="J518" s="6"/>
      <c r="K518" s="6">
        <v>0</v>
      </c>
      <c r="L518" s="5"/>
    </row>
    <row r="519" spans="3:12" x14ac:dyDescent="0.25">
      <c r="C519" s="226"/>
      <c r="D519" s="197" t="s">
        <v>119</v>
      </c>
      <c r="E519" s="99" t="s">
        <v>168</v>
      </c>
      <c r="F519" s="211">
        <v>33162</v>
      </c>
      <c r="G519" s="6">
        <v>0</v>
      </c>
      <c r="H519" s="6">
        <v>0</v>
      </c>
      <c r="I519" s="6">
        <v>0</v>
      </c>
      <c r="J519" s="6"/>
      <c r="K519" s="6">
        <v>0</v>
      </c>
      <c r="L519" s="5"/>
    </row>
    <row r="520" spans="3:12" x14ac:dyDescent="0.25">
      <c r="C520" s="226"/>
      <c r="D520" s="197" t="s">
        <v>37</v>
      </c>
      <c r="E520" s="99" t="s">
        <v>169</v>
      </c>
      <c r="F520" s="6">
        <v>0</v>
      </c>
      <c r="G520" s="211">
        <v>65000</v>
      </c>
      <c r="H520" s="6">
        <v>0</v>
      </c>
      <c r="I520" s="6">
        <v>0</v>
      </c>
      <c r="J520" s="6"/>
      <c r="K520" s="6">
        <v>0</v>
      </c>
      <c r="L520" s="5"/>
    </row>
    <row r="521" spans="3:12" x14ac:dyDescent="0.25">
      <c r="C521" s="226"/>
      <c r="D521" s="197" t="s">
        <v>18</v>
      </c>
      <c r="E521" s="99" t="s">
        <v>168</v>
      </c>
      <c r="F521" s="220">
        <v>27250</v>
      </c>
      <c r="G521" s="6">
        <v>0</v>
      </c>
      <c r="H521" s="6">
        <v>0</v>
      </c>
      <c r="I521" s="6">
        <v>0</v>
      </c>
      <c r="J521" s="6"/>
      <c r="K521" s="6">
        <v>0</v>
      </c>
      <c r="L521" s="5"/>
    </row>
    <row r="522" spans="3:12" x14ac:dyDescent="0.25">
      <c r="C522" s="226"/>
      <c r="D522" s="197" t="s">
        <v>19</v>
      </c>
      <c r="E522" s="99" t="s">
        <v>168</v>
      </c>
      <c r="F522" s="220">
        <v>64045</v>
      </c>
      <c r="G522" s="6">
        <v>0</v>
      </c>
      <c r="H522" s="6">
        <v>0</v>
      </c>
      <c r="I522" s="6">
        <v>0</v>
      </c>
      <c r="J522" s="6"/>
      <c r="K522" s="6">
        <v>0</v>
      </c>
      <c r="L522" s="5"/>
    </row>
    <row r="523" spans="3:12" x14ac:dyDescent="0.25">
      <c r="C523" s="226"/>
      <c r="D523" s="197" t="s">
        <v>40</v>
      </c>
      <c r="E523" s="99" t="s">
        <v>168</v>
      </c>
      <c r="F523" s="220">
        <v>17290</v>
      </c>
      <c r="G523" s="6">
        <v>0</v>
      </c>
      <c r="H523" s="6">
        <v>0</v>
      </c>
      <c r="I523" s="6">
        <v>0</v>
      </c>
      <c r="J523" s="6"/>
      <c r="K523" s="6">
        <v>0</v>
      </c>
      <c r="L523" s="5"/>
    </row>
    <row r="524" spans="3:12" x14ac:dyDescent="0.25">
      <c r="C524" s="226"/>
      <c r="D524" s="197" t="s">
        <v>127</v>
      </c>
      <c r="E524" s="99" t="s">
        <v>168</v>
      </c>
      <c r="F524" s="220">
        <v>33000</v>
      </c>
      <c r="G524" s="6">
        <v>0</v>
      </c>
      <c r="H524" s="6">
        <v>0</v>
      </c>
      <c r="I524" s="6">
        <v>0</v>
      </c>
      <c r="J524" s="6"/>
      <c r="K524" s="6">
        <v>0</v>
      </c>
      <c r="L524" s="5"/>
    </row>
    <row r="525" spans="3:12" x14ac:dyDescent="0.25">
      <c r="C525" s="226"/>
      <c r="D525" s="197" t="s">
        <v>148</v>
      </c>
      <c r="E525" s="15" t="s">
        <v>168</v>
      </c>
      <c r="F525" s="220">
        <v>122000</v>
      </c>
      <c r="G525" s="6">
        <v>0</v>
      </c>
      <c r="H525" s="6">
        <v>0</v>
      </c>
      <c r="I525" s="6">
        <v>0</v>
      </c>
      <c r="J525" s="6"/>
      <c r="K525" s="6">
        <v>0</v>
      </c>
      <c r="L525" s="108">
        <f>SUM(F512:G520)</f>
        <v>298244</v>
      </c>
    </row>
    <row r="526" spans="3:12" x14ac:dyDescent="0.25">
      <c r="C526" s="226"/>
      <c r="D526" s="197" t="s">
        <v>145</v>
      </c>
      <c r="E526" s="15" t="s">
        <v>168</v>
      </c>
      <c r="F526" s="6">
        <v>0</v>
      </c>
      <c r="G526" s="220">
        <v>55000</v>
      </c>
      <c r="H526" s="6">
        <v>0</v>
      </c>
      <c r="I526" s="6">
        <v>0</v>
      </c>
      <c r="J526" s="6"/>
      <c r="K526" s="6">
        <v>0</v>
      </c>
      <c r="L526" s="108">
        <f>SUM(F521+F522+F523+F524+F525+G526)</f>
        <v>318585</v>
      </c>
    </row>
    <row r="527" spans="3:12" x14ac:dyDescent="0.25">
      <c r="C527" s="227"/>
      <c r="D527" s="197"/>
      <c r="E527" s="99"/>
      <c r="F527" s="6">
        <v>0</v>
      </c>
      <c r="G527" s="6">
        <v>0</v>
      </c>
      <c r="H527" s="6">
        <v>0</v>
      </c>
      <c r="I527" s="6">
        <v>0</v>
      </c>
      <c r="J527" s="6"/>
      <c r="K527" s="6">
        <v>0</v>
      </c>
      <c r="L527" s="5"/>
    </row>
    <row r="528" spans="3:12" x14ac:dyDescent="0.25">
      <c r="C528" s="101"/>
      <c r="D528" s="117"/>
      <c r="E528" s="102" t="s">
        <v>27</v>
      </c>
      <c r="F528" s="33">
        <f>SUM(F512:F527)</f>
        <v>496829</v>
      </c>
      <c r="G528" s="33">
        <f>SUM(G512:G527)</f>
        <v>120000</v>
      </c>
      <c r="H528" s="33">
        <f>SUM(H512:H527)</f>
        <v>0</v>
      </c>
      <c r="I528" s="33">
        <f>SUM(I512:I527)</f>
        <v>0</v>
      </c>
      <c r="J528" s="33">
        <f>SUM(J512:J527)</f>
        <v>0</v>
      </c>
      <c r="K528" s="33">
        <f>SUM(F528:J528)-J528</f>
        <v>616829</v>
      </c>
      <c r="L528" s="16"/>
    </row>
    <row r="529" spans="3:12" x14ac:dyDescent="0.25">
      <c r="C529" s="225">
        <v>30</v>
      </c>
      <c r="D529" s="197" t="s">
        <v>34</v>
      </c>
      <c r="E529" s="99" t="s">
        <v>168</v>
      </c>
      <c r="F529" s="212">
        <v>10000</v>
      </c>
      <c r="G529" s="6">
        <v>0</v>
      </c>
      <c r="H529" s="6"/>
      <c r="I529" s="6">
        <v>0</v>
      </c>
      <c r="J529" s="6"/>
      <c r="K529" s="6">
        <v>0</v>
      </c>
      <c r="L529" s="5"/>
    </row>
    <row r="530" spans="3:12" x14ac:dyDescent="0.25">
      <c r="C530" s="226"/>
      <c r="D530" s="197" t="s">
        <v>127</v>
      </c>
      <c r="E530" s="99" t="s">
        <v>168</v>
      </c>
      <c r="F530" s="212">
        <v>45000</v>
      </c>
      <c r="G530" s="6">
        <v>0</v>
      </c>
      <c r="H530" s="6">
        <v>0</v>
      </c>
      <c r="I530" s="6">
        <v>0</v>
      </c>
      <c r="J530" s="6"/>
      <c r="K530" s="6">
        <v>0</v>
      </c>
      <c r="L530" s="5"/>
    </row>
    <row r="531" spans="3:12" x14ac:dyDescent="0.25">
      <c r="C531" s="226"/>
      <c r="D531" s="197" t="s">
        <v>145</v>
      </c>
      <c r="E531" s="99" t="s">
        <v>169</v>
      </c>
      <c r="F531" s="6">
        <v>0</v>
      </c>
      <c r="G531" s="212">
        <v>75000</v>
      </c>
      <c r="H531" s="6">
        <v>0</v>
      </c>
      <c r="I531" s="6">
        <v>0</v>
      </c>
      <c r="J531" s="6"/>
      <c r="K531" s="6">
        <v>0</v>
      </c>
      <c r="L531" s="5"/>
    </row>
    <row r="532" spans="3:12" x14ac:dyDescent="0.25">
      <c r="C532" s="226"/>
      <c r="D532" s="197" t="s">
        <v>148</v>
      </c>
      <c r="E532" s="99" t="s">
        <v>168</v>
      </c>
      <c r="F532" s="204">
        <v>70900</v>
      </c>
      <c r="G532" s="6">
        <v>0</v>
      </c>
      <c r="H532" s="6">
        <v>0</v>
      </c>
      <c r="I532" s="6">
        <v>0</v>
      </c>
      <c r="J532" s="6"/>
      <c r="K532" s="6">
        <v>0</v>
      </c>
      <c r="L532" s="5"/>
    </row>
    <row r="533" spans="3:12" x14ac:dyDescent="0.25">
      <c r="C533" s="226"/>
      <c r="D533" s="197"/>
      <c r="E533" s="99"/>
      <c r="F533" s="6">
        <v>0</v>
      </c>
      <c r="G533" s="204">
        <v>60000</v>
      </c>
      <c r="H533" s="6">
        <v>0</v>
      </c>
      <c r="I533" s="6">
        <v>0</v>
      </c>
      <c r="J533" s="6"/>
      <c r="K533" s="6">
        <v>0</v>
      </c>
      <c r="L533" s="5"/>
    </row>
    <row r="534" spans="3:12" x14ac:dyDescent="0.25">
      <c r="C534" s="226"/>
      <c r="D534" s="197"/>
      <c r="E534" s="99"/>
      <c r="F534" s="6">
        <v>0</v>
      </c>
      <c r="G534" s="204">
        <v>60000</v>
      </c>
      <c r="H534" s="6">
        <v>0</v>
      </c>
      <c r="I534" s="6">
        <v>0</v>
      </c>
      <c r="J534" s="6"/>
      <c r="K534" s="6">
        <v>0</v>
      </c>
      <c r="L534" s="5"/>
    </row>
    <row r="535" spans="3:12" x14ac:dyDescent="0.25">
      <c r="C535" s="226"/>
      <c r="D535" s="197"/>
      <c r="E535" s="99"/>
      <c r="F535" s="6">
        <v>0</v>
      </c>
      <c r="G535" s="6">
        <v>0</v>
      </c>
      <c r="H535" s="6">
        <v>0</v>
      </c>
      <c r="I535" s="6">
        <v>0</v>
      </c>
      <c r="J535" s="6"/>
      <c r="K535" s="6">
        <v>0</v>
      </c>
      <c r="L535" s="5"/>
    </row>
    <row r="536" spans="3:12" x14ac:dyDescent="0.25">
      <c r="C536" s="226"/>
      <c r="D536" s="197"/>
      <c r="E536" s="99"/>
      <c r="F536" s="6">
        <v>0</v>
      </c>
      <c r="G536" s="6">
        <v>0</v>
      </c>
      <c r="H536" s="6">
        <v>0</v>
      </c>
      <c r="I536" s="6">
        <v>0</v>
      </c>
      <c r="J536" s="6"/>
      <c r="K536" s="6">
        <v>0</v>
      </c>
      <c r="L536" s="5"/>
    </row>
    <row r="537" spans="3:12" x14ac:dyDescent="0.25">
      <c r="C537" s="226"/>
      <c r="D537" s="197"/>
      <c r="E537" s="99"/>
      <c r="F537" s="6">
        <v>0</v>
      </c>
      <c r="G537" s="6">
        <v>0</v>
      </c>
      <c r="H537" s="6">
        <v>0</v>
      </c>
      <c r="I537" s="6">
        <v>0</v>
      </c>
      <c r="J537" s="6"/>
      <c r="K537" s="6">
        <v>0</v>
      </c>
      <c r="L537" s="5"/>
    </row>
    <row r="538" spans="3:12" x14ac:dyDescent="0.25">
      <c r="C538" s="226"/>
      <c r="D538" s="197"/>
      <c r="E538" s="99"/>
      <c r="F538" s="6">
        <v>0</v>
      </c>
      <c r="G538" s="6">
        <v>0</v>
      </c>
      <c r="H538" s="6">
        <v>0</v>
      </c>
      <c r="I538" s="6">
        <v>0</v>
      </c>
      <c r="J538" s="6"/>
      <c r="K538" s="6">
        <v>0</v>
      </c>
      <c r="L538" s="5"/>
    </row>
    <row r="539" spans="3:12" x14ac:dyDescent="0.25">
      <c r="C539" s="226"/>
      <c r="D539" s="197"/>
      <c r="E539" s="99"/>
      <c r="F539" s="6">
        <v>0</v>
      </c>
      <c r="G539" s="6">
        <v>0</v>
      </c>
      <c r="H539" s="6">
        <v>0</v>
      </c>
      <c r="I539" s="6">
        <v>0</v>
      </c>
      <c r="J539" s="6"/>
      <c r="K539" s="6">
        <v>0</v>
      </c>
      <c r="L539" s="5"/>
    </row>
    <row r="540" spans="3:12" x14ac:dyDescent="0.25">
      <c r="C540" s="226"/>
      <c r="D540" s="197"/>
      <c r="E540" s="99"/>
      <c r="F540" s="6">
        <v>0</v>
      </c>
      <c r="G540" s="6">
        <v>0</v>
      </c>
      <c r="H540" s="6">
        <v>0</v>
      </c>
      <c r="I540" s="6">
        <v>0</v>
      </c>
      <c r="J540" s="6"/>
      <c r="K540" s="6">
        <v>0</v>
      </c>
      <c r="L540" s="5"/>
    </row>
    <row r="541" spans="3:12" x14ac:dyDescent="0.25">
      <c r="C541" s="226"/>
      <c r="D541" s="197"/>
      <c r="E541" s="99"/>
      <c r="F541" s="6">
        <v>0</v>
      </c>
      <c r="G541" s="6">
        <v>0</v>
      </c>
      <c r="H541" s="6">
        <v>0</v>
      </c>
      <c r="I541" s="6">
        <v>0</v>
      </c>
      <c r="J541" s="6"/>
      <c r="K541" s="6">
        <v>0</v>
      </c>
      <c r="L541" s="5"/>
    </row>
    <row r="542" spans="3:12" x14ac:dyDescent="0.25">
      <c r="C542" s="226"/>
      <c r="D542" s="197"/>
      <c r="E542" s="99"/>
      <c r="F542" s="6">
        <v>0</v>
      </c>
      <c r="G542" s="6">
        <v>0</v>
      </c>
      <c r="H542" s="6">
        <v>0</v>
      </c>
      <c r="I542" s="6">
        <v>0</v>
      </c>
      <c r="J542" s="6"/>
      <c r="K542" s="6">
        <v>0</v>
      </c>
      <c r="L542" s="213">
        <f>SUM(F529+F530+G531)</f>
        <v>130000</v>
      </c>
    </row>
    <row r="543" spans="3:12" x14ac:dyDescent="0.25">
      <c r="C543" s="226"/>
      <c r="D543" s="197"/>
      <c r="E543" s="99"/>
      <c r="F543" s="6">
        <v>0</v>
      </c>
      <c r="G543" s="6">
        <v>0</v>
      </c>
      <c r="H543" s="6">
        <v>0</v>
      </c>
      <c r="I543" s="6">
        <v>0</v>
      </c>
      <c r="J543" s="6"/>
      <c r="K543" s="6">
        <v>0</v>
      </c>
      <c r="L543" s="203">
        <f>SUM(G533:G534)+F532</f>
        <v>190900</v>
      </c>
    </row>
    <row r="544" spans="3:12" x14ac:dyDescent="0.25">
      <c r="C544" s="227"/>
      <c r="D544" s="197"/>
      <c r="E544" s="99"/>
      <c r="F544" s="6">
        <v>0</v>
      </c>
      <c r="G544" s="6">
        <v>0</v>
      </c>
      <c r="H544" s="6">
        <v>0</v>
      </c>
      <c r="I544" s="6">
        <v>0</v>
      </c>
      <c r="J544" s="6"/>
      <c r="K544" s="6">
        <v>0</v>
      </c>
      <c r="L544" s="108">
        <f>L542+L543</f>
        <v>320900</v>
      </c>
    </row>
    <row r="545" spans="3:12" x14ac:dyDescent="0.25">
      <c r="C545" s="101"/>
      <c r="D545" s="117"/>
      <c r="E545" s="102" t="s">
        <v>27</v>
      </c>
      <c r="F545" s="33">
        <f>SUM(F529:F544)</f>
        <v>125900</v>
      </c>
      <c r="G545" s="33">
        <f>SUM(G529:G544)</f>
        <v>195000</v>
      </c>
      <c r="H545" s="33">
        <f>SUM(H529:H544)</f>
        <v>0</v>
      </c>
      <c r="I545" s="33">
        <f>SUM(I529:I544)</f>
        <v>0</v>
      </c>
      <c r="J545" s="33">
        <f>SUM(J529:J544)</f>
        <v>0</v>
      </c>
      <c r="K545" s="33">
        <f>SUM(F545:J545)-J545</f>
        <v>320900</v>
      </c>
      <c r="L545" s="16"/>
    </row>
    <row r="546" spans="3:12" x14ac:dyDescent="0.25">
      <c r="C546" s="225">
        <v>31</v>
      </c>
      <c r="D546" s="197"/>
      <c r="E546" s="15"/>
      <c r="F546" s="107"/>
      <c r="G546" s="107"/>
      <c r="H546" s="107">
        <v>0</v>
      </c>
      <c r="I546" s="107"/>
      <c r="J546" s="107"/>
      <c r="K546" s="107"/>
      <c r="L546" s="5"/>
    </row>
    <row r="547" spans="3:12" x14ac:dyDescent="0.25">
      <c r="C547" s="226"/>
      <c r="D547" s="197"/>
      <c r="E547" s="99"/>
      <c r="F547" s="107"/>
      <c r="G547" s="107"/>
      <c r="H547" s="107"/>
      <c r="I547" s="107"/>
      <c r="J547" s="107"/>
      <c r="K547" s="107"/>
      <c r="L547" s="5"/>
    </row>
    <row r="548" spans="3:12" x14ac:dyDescent="0.25">
      <c r="C548" s="226"/>
      <c r="D548" s="197"/>
      <c r="E548" s="99"/>
      <c r="F548" s="107"/>
      <c r="G548" s="107"/>
      <c r="H548" s="107"/>
      <c r="I548" s="107"/>
      <c r="J548" s="107"/>
      <c r="K548" s="107"/>
      <c r="L548" s="5"/>
    </row>
    <row r="549" spans="3:12" x14ac:dyDescent="0.25">
      <c r="C549" s="226"/>
      <c r="D549" s="197"/>
      <c r="E549" s="99"/>
      <c r="F549" s="107"/>
      <c r="G549" s="107"/>
      <c r="H549" s="107"/>
      <c r="I549" s="107"/>
      <c r="J549" s="107"/>
      <c r="K549" s="107"/>
      <c r="L549" s="5"/>
    </row>
    <row r="550" spans="3:12" x14ac:dyDescent="0.25">
      <c r="C550" s="226"/>
      <c r="D550" s="197"/>
      <c r="E550" s="99"/>
      <c r="F550" s="107"/>
      <c r="G550" s="107"/>
      <c r="H550" s="107"/>
      <c r="I550" s="107"/>
      <c r="J550" s="107"/>
      <c r="K550" s="107"/>
      <c r="L550" s="5"/>
    </row>
    <row r="551" spans="3:12" x14ac:dyDescent="0.25">
      <c r="C551" s="226"/>
      <c r="D551" s="197"/>
      <c r="E551" s="99"/>
      <c r="F551" s="107"/>
      <c r="G551" s="107"/>
      <c r="H551" s="107"/>
      <c r="I551" s="107"/>
      <c r="J551" s="107"/>
      <c r="K551" s="107"/>
      <c r="L551" s="5"/>
    </row>
    <row r="552" spans="3:12" x14ac:dyDescent="0.25">
      <c r="C552" s="226"/>
      <c r="D552" s="197"/>
      <c r="E552" s="99"/>
      <c r="F552" s="107"/>
      <c r="G552" s="107"/>
      <c r="H552" s="107"/>
      <c r="I552" s="107"/>
      <c r="J552" s="107"/>
      <c r="K552" s="107"/>
      <c r="L552" s="5"/>
    </row>
    <row r="553" spans="3:12" x14ac:dyDescent="0.25">
      <c r="C553" s="226"/>
      <c r="D553" s="197"/>
      <c r="E553" s="99"/>
      <c r="F553" s="107"/>
      <c r="G553" s="107"/>
      <c r="H553" s="107"/>
      <c r="I553" s="107"/>
      <c r="J553" s="107"/>
      <c r="K553" s="107"/>
      <c r="L553" s="5"/>
    </row>
    <row r="554" spans="3:12" x14ac:dyDescent="0.25">
      <c r="C554" s="226"/>
      <c r="D554" s="197"/>
      <c r="E554" s="99"/>
      <c r="F554" s="107"/>
      <c r="G554" s="107">
        <v>0</v>
      </c>
      <c r="H554" s="107"/>
      <c r="I554" s="107"/>
      <c r="J554" s="107"/>
      <c r="K554" s="107"/>
      <c r="L554" s="5"/>
    </row>
    <row r="555" spans="3:12" x14ac:dyDescent="0.25">
      <c r="C555" s="226"/>
      <c r="D555" s="197"/>
      <c r="E555" s="99"/>
      <c r="F555" s="107"/>
      <c r="G555" s="107"/>
      <c r="H555" s="107"/>
      <c r="I555" s="107"/>
      <c r="J555" s="107"/>
      <c r="K555" s="107"/>
      <c r="L555" s="5"/>
    </row>
    <row r="556" spans="3:12" x14ac:dyDescent="0.25">
      <c r="C556" s="226"/>
      <c r="D556" s="197"/>
      <c r="E556" s="99"/>
      <c r="F556" s="107"/>
      <c r="G556" s="107"/>
      <c r="H556" s="107"/>
      <c r="I556" s="107"/>
      <c r="J556" s="107"/>
      <c r="K556" s="107"/>
      <c r="L556" s="5"/>
    </row>
    <row r="557" spans="3:12" x14ac:dyDescent="0.25">
      <c r="C557" s="226"/>
      <c r="D557" s="197"/>
      <c r="E557" s="99"/>
      <c r="F557" s="107"/>
      <c r="G557" s="107"/>
      <c r="H557" s="107"/>
      <c r="I557" s="107"/>
      <c r="J557" s="107"/>
      <c r="K557" s="107"/>
      <c r="L557" s="5"/>
    </row>
    <row r="558" spans="3:12" x14ac:dyDescent="0.25">
      <c r="C558" s="226"/>
      <c r="D558" s="197"/>
      <c r="E558" s="99"/>
      <c r="F558" s="107"/>
      <c r="G558" s="107"/>
      <c r="H558" s="107"/>
      <c r="I558" s="107"/>
      <c r="J558" s="107"/>
      <c r="K558" s="107"/>
      <c r="L558" s="5"/>
    </row>
    <row r="559" spans="3:12" x14ac:dyDescent="0.25">
      <c r="C559" s="226"/>
      <c r="D559" s="197"/>
      <c r="E559" s="99"/>
      <c r="F559" s="107"/>
      <c r="G559" s="107"/>
      <c r="H559" s="107"/>
      <c r="I559" s="107"/>
      <c r="J559" s="107"/>
      <c r="K559" s="107"/>
      <c r="L559" s="5"/>
    </row>
    <row r="560" spans="3:12" x14ac:dyDescent="0.25">
      <c r="C560" s="226"/>
      <c r="D560" s="197"/>
      <c r="E560" s="99"/>
      <c r="F560" s="107"/>
      <c r="G560" s="107"/>
      <c r="H560" s="107"/>
      <c r="I560" s="107"/>
      <c r="J560" s="107"/>
      <c r="K560" s="107"/>
      <c r="L560" s="5"/>
    </row>
    <row r="561" spans="3:12" x14ac:dyDescent="0.25">
      <c r="C561" s="227"/>
      <c r="D561" s="197"/>
      <c r="E561" s="99"/>
      <c r="F561" s="107"/>
      <c r="G561" s="107"/>
      <c r="H561" s="107"/>
      <c r="I561" s="107"/>
      <c r="J561" s="107"/>
      <c r="K561" s="107"/>
      <c r="L561" s="5"/>
    </row>
    <row r="562" spans="3:12" x14ac:dyDescent="0.25">
      <c r="C562" s="101"/>
      <c r="D562" s="117"/>
      <c r="E562" s="102" t="s">
        <v>27</v>
      </c>
      <c r="F562" s="33">
        <f>SUM(F546:F561)</f>
        <v>0</v>
      </c>
      <c r="G562" s="33">
        <f>SUM(G546:G561)</f>
        <v>0</v>
      </c>
      <c r="H562" s="33">
        <f>SUM(H546:H561)</f>
        <v>0</v>
      </c>
      <c r="I562" s="33">
        <f>SUM(I546:I561)</f>
        <v>0</v>
      </c>
      <c r="J562" s="33">
        <f>SUM(J546:J561)</f>
        <v>0</v>
      </c>
      <c r="K562" s="33">
        <f>SUM(F562:J562)-J562</f>
        <v>0</v>
      </c>
      <c r="L562" s="27">
        <f>+K25+K43+K61+K79+K97+K115+K132+K150+K169+K186+K204+K224+K242+K261+K280+K298+K317+K333+K351+K371+K390+K409+K425+K443+K460+K477+K494+K511+K528+K545+K562</f>
        <v>19881158</v>
      </c>
    </row>
    <row r="564" spans="3:12" x14ac:dyDescent="0.25">
      <c r="C564" s="228" t="s">
        <v>47</v>
      </c>
      <c r="D564" s="229"/>
      <c r="E564" s="230"/>
      <c r="F564" s="33">
        <f>+F25+F43+F61+F79+F97+F115+F132+F150+F169+F186+F204+F224+F242+F261+F280+F298+F317+F333+F351+F371+F390+F409+F425+F443+F460+F477+F494+F511+F528+F545+F562</f>
        <v>11554261</v>
      </c>
      <c r="G564" s="33">
        <f>+G25+G43+G61+G79+G97+G115+G132+G150+G169+G186+G204+G224+G242+G261+G280+G298+G317+G333+G351+G371+G390+G409+G425+G443+G460+G477+G494+G511+G528+G545+G562</f>
        <v>5345200</v>
      </c>
      <c r="H564" s="33">
        <f>+H25+H43+H61+H79+H97+H115+H132+H150+H169+H186+H204+H224+H242+H261+H280+H298+H317+H333+H351+H371+H390+H409+H425+H443+H460+H477+H494+H511+H528+H545+H562</f>
        <v>2139097</v>
      </c>
      <c r="I564" s="33">
        <f>+I25+I43+I61+I79+I97+I115+I132+I150+I169+I186+I204+I224+I242+I261+I280+I298+I317+I333+I351+I371+I390+I409+I425+I443+I460+I477+I494+I511+I528+I545+I562</f>
        <v>842600</v>
      </c>
      <c r="J564" s="106">
        <f>J25+J43+J61+J79+J97+J115+J132+J150+J169+J186+J204+J224+J242+J261+J280+J298+J317+J333+J351+J371+J390+J409+J425+J443+J460+J477+J494+J511+J528+J545+J562</f>
        <v>0</v>
      </c>
      <c r="K564" s="231">
        <f>SUM(F564:J564)</f>
        <v>19881158</v>
      </c>
      <c r="L564" s="232"/>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row r="2617" spans="3:10" s="135" customFormat="1" x14ac:dyDescent="0.25">
      <c r="C2617" s="138"/>
      <c r="D2617" s="139"/>
      <c r="F2617" s="140"/>
      <c r="G2617" s="140"/>
      <c r="H2617" s="140"/>
      <c r="I2617" s="140"/>
      <c r="J2617" s="140"/>
    </row>
  </sheetData>
  <mergeCells count="38">
    <mergeCell ref="C478:C493"/>
    <mergeCell ref="C495:C510"/>
    <mergeCell ref="C512:C527"/>
    <mergeCell ref="C564:E564"/>
    <mergeCell ref="K564:L564"/>
    <mergeCell ref="C529:C544"/>
    <mergeCell ref="C546:C561"/>
    <mergeCell ref="C391:C408"/>
    <mergeCell ref="C410:C424"/>
    <mergeCell ref="C426:C442"/>
    <mergeCell ref="C444:C459"/>
    <mergeCell ref="C461:C476"/>
    <mergeCell ref="C299:C316"/>
    <mergeCell ref="C318:C332"/>
    <mergeCell ref="C334:C350"/>
    <mergeCell ref="C352:C370"/>
    <mergeCell ref="C372:C389"/>
    <mergeCell ref="C205:C223"/>
    <mergeCell ref="C225:C241"/>
    <mergeCell ref="C243:C260"/>
    <mergeCell ref="C262:C279"/>
    <mergeCell ref="C281:C297"/>
    <mergeCell ref="C116:C131"/>
    <mergeCell ref="C133:C149"/>
    <mergeCell ref="C151:C168"/>
    <mergeCell ref="C170:C185"/>
    <mergeCell ref="C187:C203"/>
    <mergeCell ref="C26:C42"/>
    <mergeCell ref="C44:C60"/>
    <mergeCell ref="C62:C78"/>
    <mergeCell ref="C80:C96"/>
    <mergeCell ref="C98:C114"/>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1">
    <cfRule type="duplicateValues" dxfId="2" priority="14"/>
  </conditionalFormatting>
  <conditionalFormatting sqref="Q103:Q107">
    <cfRule type="duplicateValues" dxfId="1" priority="10"/>
  </conditionalFormatting>
  <dataValidations count="3">
    <dataValidation type="list" allowBlank="1" showInputMessage="1" showErrorMessage="1" sqref="D562:D1048576 D25 D43 D61 D79 D97 D115 D132 D150 D169 D186 D204 D224 D242 D261 D280 D298 D317 D333 D351 D371 D390 D409 D425 D443 D460 D477 D494 D511 D528 D545 D1:D8" xr:uid="{4C21EB5E-3257-46DE-B24A-2AFFC42DE468}">
      <formula1>$Q$10:$Q$64</formula1>
    </dataValidation>
    <dataValidation type="list" allowBlank="1" showInputMessage="1" showErrorMessage="1" sqref="D546:D561 Q9 D515:D527 D478:D484 D486:D493 D469:D476 D454:D459 D440:D442 D416:D424 D391:D408 D334:D350 D372:D389 D352:D370 D318:D332 D412:D414 D299:D316 D273:D279 D257:D260 D243:D251 D205:D223 D187:D203 D179:D185 D151:D168 D144:D149 D116:D131 D108:D114 D69:D78 D80:D96 D55:D60 D38:D42 D20:D24 D48:D53 D18 D26:D33 D35 D44:D46 D133:D142 D62 D64:D67 D98:D106 D170:D177 D225:D241 D262:D271 D253:D255 D283:D297 D281 D410 D9:D16 D426:D435 D438 D444:D449 D451:D452 D461:D463 D465:D467 D500:D510 D495:D498 D512:D513 D529:D544" xr:uid="{35442AB6-F4A8-40A8-81B3-5B4FA20ABEB9}">
      <formula1>$Q$10:$Q$101</formula1>
    </dataValidation>
    <dataValidation type="list" allowBlank="1" showInputMessage="1" showErrorMessage="1" sqref="Q8" xr:uid="{21D90747-209B-4899-9945-4A2FA732940A}">
      <formula1>$Q$10:$Q$135</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abSelected="1" topLeftCell="A86" zoomScale="85" zoomScaleNormal="85" workbookViewId="0">
      <selection activeCell="I108" sqref="I108"/>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35" t="s">
        <v>0</v>
      </c>
      <c r="D3" s="236"/>
      <c r="E3" s="236"/>
      <c r="F3" s="236"/>
      <c r="G3" s="236"/>
      <c r="H3" s="236"/>
      <c r="I3" s="237"/>
    </row>
    <row r="4" spans="3:9" ht="18.75" x14ac:dyDescent="0.3">
      <c r="C4" s="235" t="s">
        <v>48</v>
      </c>
      <c r="D4" s="236"/>
      <c r="E4" s="236"/>
      <c r="F4" s="236"/>
      <c r="G4" s="236"/>
      <c r="H4" s="236"/>
      <c r="I4" s="237"/>
    </row>
    <row r="5" spans="3:9" ht="18.75" x14ac:dyDescent="0.3">
      <c r="C5" s="235" t="s">
        <v>49</v>
      </c>
      <c r="D5" s="236"/>
      <c r="E5" s="236"/>
      <c r="F5" s="236"/>
      <c r="G5" s="236"/>
      <c r="H5" s="236"/>
      <c r="I5" s="237"/>
    </row>
    <row r="6" spans="3:9" ht="18.75" x14ac:dyDescent="0.3">
      <c r="C6" s="235"/>
      <c r="D6" s="236"/>
      <c r="E6" s="236"/>
      <c r="F6" s="236"/>
      <c r="G6" s="236"/>
      <c r="H6" s="236"/>
      <c r="I6" s="237"/>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441000+383000</f>
        <v>824000</v>
      </c>
      <c r="F10" s="36"/>
      <c r="G10" s="36"/>
      <c r="H10" s="36"/>
      <c r="I10" s="233"/>
    </row>
    <row r="11" spans="3:9" x14ac:dyDescent="0.25">
      <c r="C11" s="34">
        <v>1</v>
      </c>
      <c r="D11" s="35" t="s">
        <v>57</v>
      </c>
      <c r="E11" s="35">
        <f>35000+303000</f>
        <v>338000</v>
      </c>
      <c r="F11" s="36"/>
      <c r="G11" s="36"/>
      <c r="H11" s="36"/>
      <c r="I11" s="233"/>
    </row>
    <row r="12" spans="3:9" x14ac:dyDescent="0.25">
      <c r="C12" s="37" t="s">
        <v>58</v>
      </c>
      <c r="D12" s="38"/>
      <c r="E12" s="38">
        <f>SUM(E10:E11)</f>
        <v>1162000</v>
      </c>
      <c r="F12" s="38">
        <f>SUM(F10:F11)</f>
        <v>0</v>
      </c>
      <c r="G12" s="39">
        <f>+'EGRESOS '!K25</f>
        <v>587192</v>
      </c>
      <c r="H12" s="39">
        <f>+E12-G12</f>
        <v>574808</v>
      </c>
      <c r="I12" s="233"/>
    </row>
    <row r="13" spans="3:9" x14ac:dyDescent="0.25">
      <c r="C13" s="40">
        <v>2</v>
      </c>
      <c r="D13" s="35" t="s">
        <v>56</v>
      </c>
      <c r="E13" s="35">
        <v>1219000</v>
      </c>
      <c r="F13" s="36"/>
      <c r="G13" s="36"/>
      <c r="H13" s="36"/>
      <c r="I13" s="233"/>
    </row>
    <row r="14" spans="3:9" x14ac:dyDescent="0.25">
      <c r="C14" s="40">
        <v>2</v>
      </c>
      <c r="D14" s="35" t="s">
        <v>57</v>
      </c>
      <c r="E14" s="35">
        <v>586000</v>
      </c>
      <c r="F14" s="36"/>
      <c r="G14" s="36"/>
      <c r="H14" s="36"/>
      <c r="I14" s="233"/>
    </row>
    <row r="15" spans="3:9" x14ac:dyDescent="0.25">
      <c r="C15" s="37" t="s">
        <v>58</v>
      </c>
      <c r="D15" s="38"/>
      <c r="E15" s="38">
        <f>SUM(E13:E14)</f>
        <v>1805000</v>
      </c>
      <c r="F15" s="38">
        <f>SUM(F13:F14)</f>
        <v>0</v>
      </c>
      <c r="G15" s="39">
        <f>+'EGRESOS '!K43</f>
        <v>821990</v>
      </c>
      <c r="H15" s="39">
        <f>+H12+E15-G15</f>
        <v>1557818</v>
      </c>
      <c r="I15" s="233"/>
    </row>
    <row r="16" spans="3:9" x14ac:dyDescent="0.25">
      <c r="C16" s="41">
        <v>3</v>
      </c>
      <c r="D16" s="35" t="s">
        <v>56</v>
      </c>
      <c r="E16" s="35">
        <f>363000+404000</f>
        <v>767000</v>
      </c>
      <c r="F16" s="36"/>
      <c r="G16" s="36"/>
      <c r="H16" s="36"/>
      <c r="I16" s="233"/>
    </row>
    <row r="17" spans="3:9" x14ac:dyDescent="0.25">
      <c r="C17" s="41">
        <v>3</v>
      </c>
      <c r="D17" s="35" t="s">
        <v>57</v>
      </c>
      <c r="E17" s="35">
        <f>77000+233000</f>
        <v>310000</v>
      </c>
      <c r="F17" s="36"/>
      <c r="G17" s="36"/>
      <c r="H17" s="36"/>
      <c r="I17" s="233"/>
    </row>
    <row r="18" spans="3:9" x14ac:dyDescent="0.25">
      <c r="C18" s="37" t="s">
        <v>58</v>
      </c>
      <c r="D18" s="38"/>
      <c r="E18" s="38">
        <f>SUM(E16:E17)</f>
        <v>1077000</v>
      </c>
      <c r="F18" s="38">
        <f>SUM(F16:F17)</f>
        <v>0</v>
      </c>
      <c r="G18" s="39">
        <f>+'EGRESOS '!K61</f>
        <v>670470</v>
      </c>
      <c r="H18" s="39">
        <f>+H15+E18-G18</f>
        <v>1964348</v>
      </c>
      <c r="I18" s="233"/>
    </row>
    <row r="19" spans="3:9" x14ac:dyDescent="0.25">
      <c r="C19" s="42">
        <v>4</v>
      </c>
      <c r="D19" s="35" t="s">
        <v>56</v>
      </c>
      <c r="E19" s="35">
        <f>161000+288000</f>
        <v>449000</v>
      </c>
      <c r="F19" s="36"/>
      <c r="G19" s="36"/>
      <c r="H19" s="36"/>
      <c r="I19" s="238" t="s">
        <v>183</v>
      </c>
    </row>
    <row r="20" spans="3:9" x14ac:dyDescent="0.25">
      <c r="C20" s="42">
        <v>4</v>
      </c>
      <c r="D20" s="35" t="s">
        <v>57</v>
      </c>
      <c r="E20" s="35">
        <f>7000+192000</f>
        <v>199000</v>
      </c>
      <c r="F20" s="36"/>
      <c r="G20" s="36"/>
      <c r="H20" s="36"/>
      <c r="I20" s="238"/>
    </row>
    <row r="21" spans="3:9" x14ac:dyDescent="0.25">
      <c r="C21" s="37" t="s">
        <v>58</v>
      </c>
      <c r="D21" s="38"/>
      <c r="E21" s="38">
        <f>SUM(E19:E20)</f>
        <v>648000</v>
      </c>
      <c r="F21" s="38">
        <f>SUM(F19:F20)</f>
        <v>0</v>
      </c>
      <c r="G21" s="39">
        <f>+'EGRESOS '!K79</f>
        <v>3359657</v>
      </c>
      <c r="H21" s="39">
        <f>+H18+E21-G21</f>
        <v>-747309</v>
      </c>
      <c r="I21" s="238"/>
    </row>
    <row r="22" spans="3:9" x14ac:dyDescent="0.25">
      <c r="C22" s="43">
        <v>5</v>
      </c>
      <c r="D22" s="35" t="s">
        <v>56</v>
      </c>
      <c r="E22" s="35">
        <f>35000+253000</f>
        <v>288000</v>
      </c>
      <c r="F22" s="36"/>
      <c r="G22" s="36"/>
      <c r="H22" s="36"/>
      <c r="I22" s="234" t="s">
        <v>186</v>
      </c>
    </row>
    <row r="23" spans="3:9" x14ac:dyDescent="0.25">
      <c r="C23" s="43">
        <v>5</v>
      </c>
      <c r="D23" s="35" t="s">
        <v>57</v>
      </c>
      <c r="E23" s="35">
        <f>30000+104000</f>
        <v>134000</v>
      </c>
      <c r="F23" s="36"/>
      <c r="G23" s="36"/>
      <c r="H23" s="36"/>
      <c r="I23" s="234"/>
    </row>
    <row r="24" spans="3:9" x14ac:dyDescent="0.25">
      <c r="C24" s="37" t="s">
        <v>58</v>
      </c>
      <c r="D24" s="38"/>
      <c r="E24" s="38">
        <f>SUM(E22:E23)</f>
        <v>422000</v>
      </c>
      <c r="F24" s="38">
        <f>SUM(F22:F23)</f>
        <v>0</v>
      </c>
      <c r="G24" s="39">
        <f>+'EGRESOS '!K97</f>
        <v>453453</v>
      </c>
      <c r="H24" s="39">
        <f>+H21+E24-G24</f>
        <v>-778762</v>
      </c>
      <c r="I24" s="234"/>
    </row>
    <row r="25" spans="3:9" x14ac:dyDescent="0.25">
      <c r="C25" s="44">
        <v>6</v>
      </c>
      <c r="D25" s="35" t="s">
        <v>56</v>
      </c>
      <c r="E25" s="35">
        <f>168000+245000</f>
        <v>413000</v>
      </c>
      <c r="F25" s="36"/>
      <c r="G25" s="36"/>
      <c r="H25" s="36"/>
      <c r="I25" s="238" t="s">
        <v>185</v>
      </c>
    </row>
    <row r="26" spans="3:9" x14ac:dyDescent="0.25">
      <c r="C26" s="44">
        <v>6</v>
      </c>
      <c r="D26" s="35" t="s">
        <v>57</v>
      </c>
      <c r="E26" s="35">
        <f>65000+133000</f>
        <v>198000</v>
      </c>
      <c r="F26" s="36"/>
      <c r="G26" s="36"/>
      <c r="H26" s="36"/>
      <c r="I26" s="238"/>
    </row>
    <row r="27" spans="3:9" x14ac:dyDescent="0.25">
      <c r="C27" s="37" t="s">
        <v>58</v>
      </c>
      <c r="D27" s="38"/>
      <c r="E27" s="38">
        <f>SUM(E25:E26)</f>
        <v>611000</v>
      </c>
      <c r="F27" s="38">
        <f>SUM(F25:F26)</f>
        <v>0</v>
      </c>
      <c r="G27" s="39">
        <f>+'EGRESOS '!K115</f>
        <v>385678</v>
      </c>
      <c r="H27" s="39">
        <f>+H24+E27-G27</f>
        <v>-553440</v>
      </c>
      <c r="I27" s="238"/>
    </row>
    <row r="28" spans="3:9" x14ac:dyDescent="0.25">
      <c r="C28" s="45">
        <v>7</v>
      </c>
      <c r="D28" s="35" t="s">
        <v>56</v>
      </c>
      <c r="E28" s="35">
        <f>142500+363000</f>
        <v>505500</v>
      </c>
      <c r="F28" s="36"/>
      <c r="G28" s="36"/>
      <c r="H28" s="36"/>
      <c r="I28" s="233"/>
    </row>
    <row r="29" spans="3:9" x14ac:dyDescent="0.25">
      <c r="C29" s="45">
        <v>7</v>
      </c>
      <c r="D29" s="35" t="s">
        <v>57</v>
      </c>
      <c r="E29" s="35">
        <f>61000+94000</f>
        <v>155000</v>
      </c>
      <c r="F29" s="36"/>
      <c r="G29" s="36"/>
      <c r="H29" s="36"/>
      <c r="I29" s="233"/>
    </row>
    <row r="30" spans="3:9" x14ac:dyDescent="0.25">
      <c r="C30" s="37" t="s">
        <v>58</v>
      </c>
      <c r="D30" s="38"/>
      <c r="E30" s="38">
        <f>SUM(E28:E29)</f>
        <v>660500</v>
      </c>
      <c r="F30" s="38">
        <f>SUM(F28:F29)</f>
        <v>0</v>
      </c>
      <c r="G30" s="39">
        <f>+'EGRESOS '!K132</f>
        <v>264151</v>
      </c>
      <c r="H30" s="39">
        <f>+H27+E30-G30</f>
        <v>-157091</v>
      </c>
      <c r="I30" s="233"/>
    </row>
    <row r="31" spans="3:9" x14ac:dyDescent="0.25">
      <c r="C31" s="43">
        <v>8</v>
      </c>
      <c r="D31" s="35" t="s">
        <v>56</v>
      </c>
      <c r="E31" s="35">
        <v>800000</v>
      </c>
      <c r="F31" s="36"/>
      <c r="G31" s="36"/>
      <c r="H31" s="36"/>
      <c r="I31" s="233"/>
    </row>
    <row r="32" spans="3:9" x14ac:dyDescent="0.25">
      <c r="C32" s="43">
        <v>8</v>
      </c>
      <c r="D32" s="35" t="s">
        <v>57</v>
      </c>
      <c r="E32" s="35">
        <v>253000</v>
      </c>
      <c r="F32" s="36"/>
      <c r="G32" s="36"/>
      <c r="H32" s="36"/>
      <c r="I32" s="233"/>
    </row>
    <row r="33" spans="3:9" x14ac:dyDescent="0.25">
      <c r="C33" s="37" t="s">
        <v>58</v>
      </c>
      <c r="D33" s="38"/>
      <c r="E33" s="38">
        <f>SUM(E31:E32)</f>
        <v>1053000</v>
      </c>
      <c r="F33" s="38">
        <f>SUM(F31:F32)</f>
        <v>0</v>
      </c>
      <c r="G33" s="39">
        <f>+'EGRESOS '!K150</f>
        <v>673560</v>
      </c>
      <c r="H33" s="39">
        <f>+H30+E33-G33</f>
        <v>222349</v>
      </c>
      <c r="I33" s="233"/>
    </row>
    <row r="34" spans="3:9" x14ac:dyDescent="0.25">
      <c r="C34" s="46">
        <v>9</v>
      </c>
      <c r="D34" s="35" t="s">
        <v>56</v>
      </c>
      <c r="E34" s="35">
        <f>214000+556000</f>
        <v>770000</v>
      </c>
      <c r="F34" s="36"/>
      <c r="G34" s="36"/>
      <c r="H34" s="36"/>
      <c r="I34" s="233"/>
    </row>
    <row r="35" spans="3:9" x14ac:dyDescent="0.25">
      <c r="C35" s="46">
        <v>9</v>
      </c>
      <c r="D35" s="35" t="s">
        <v>57</v>
      </c>
      <c r="E35" s="35">
        <f>64000+145000</f>
        <v>209000</v>
      </c>
      <c r="F35" s="36"/>
      <c r="G35" s="36"/>
      <c r="H35" s="36"/>
      <c r="I35" s="233"/>
    </row>
    <row r="36" spans="3:9" x14ac:dyDescent="0.25">
      <c r="C36" s="37" t="s">
        <v>58</v>
      </c>
      <c r="D36" s="38"/>
      <c r="E36" s="38">
        <f>SUM(E34:E35)</f>
        <v>979000</v>
      </c>
      <c r="F36" s="38">
        <f>SUM(F34:F35)</f>
        <v>0</v>
      </c>
      <c r="G36" s="39">
        <f>+'EGRESOS '!K169</f>
        <v>432180</v>
      </c>
      <c r="H36" s="39">
        <f>+H33+E36-G36</f>
        <v>769169</v>
      </c>
      <c r="I36" s="233"/>
    </row>
    <row r="37" spans="3:9" x14ac:dyDescent="0.25">
      <c r="C37" s="42">
        <v>10</v>
      </c>
      <c r="D37" s="35" t="s">
        <v>56</v>
      </c>
      <c r="E37" s="35">
        <f>173000+418000</f>
        <v>591000</v>
      </c>
      <c r="F37" s="36"/>
      <c r="G37" s="36"/>
      <c r="H37" s="36"/>
      <c r="I37" s="233"/>
    </row>
    <row r="38" spans="3:9" x14ac:dyDescent="0.25">
      <c r="C38" s="42">
        <v>10</v>
      </c>
      <c r="D38" s="35" t="s">
        <v>57</v>
      </c>
      <c r="E38" s="35">
        <f>30000+194000</f>
        <v>224000</v>
      </c>
      <c r="F38" s="36"/>
      <c r="G38" s="36"/>
      <c r="H38" s="36"/>
      <c r="I38" s="233"/>
    </row>
    <row r="39" spans="3:9" x14ac:dyDescent="0.25">
      <c r="C39" s="37" t="s">
        <v>58</v>
      </c>
      <c r="D39" s="38"/>
      <c r="E39" s="38">
        <f>SUM(E37:E38)</f>
        <v>815000</v>
      </c>
      <c r="F39" s="38">
        <f>SUM(F37:F38)</f>
        <v>0</v>
      </c>
      <c r="G39" s="39">
        <f>+'EGRESOS '!K186</f>
        <v>602870</v>
      </c>
      <c r="H39" s="39">
        <f>+H36+E39-G39</f>
        <v>981299</v>
      </c>
      <c r="I39" s="233"/>
    </row>
    <row r="40" spans="3:9" x14ac:dyDescent="0.25">
      <c r="C40" s="45">
        <v>11</v>
      </c>
      <c r="D40" s="35" t="s">
        <v>56</v>
      </c>
      <c r="E40" s="35">
        <f>213500+397000</f>
        <v>610500</v>
      </c>
      <c r="F40" s="36"/>
      <c r="G40" s="36"/>
      <c r="H40" s="36"/>
      <c r="I40" s="233"/>
    </row>
    <row r="41" spans="3:9" x14ac:dyDescent="0.25">
      <c r="C41" s="45">
        <v>11</v>
      </c>
      <c r="D41" s="35" t="s">
        <v>57</v>
      </c>
      <c r="E41" s="35">
        <v>183000</v>
      </c>
      <c r="F41" s="36"/>
      <c r="G41" s="36"/>
      <c r="H41" s="36"/>
      <c r="I41" s="233"/>
    </row>
    <row r="42" spans="3:9" x14ac:dyDescent="0.25">
      <c r="C42" s="37" t="s">
        <v>58</v>
      </c>
      <c r="D42" s="38"/>
      <c r="E42" s="38">
        <f>SUM(E40:E41)</f>
        <v>793500</v>
      </c>
      <c r="F42" s="38">
        <f>SUM(F40:F41)</f>
        <v>0</v>
      </c>
      <c r="G42" s="39">
        <f>+'EGRESOS '!K204</f>
        <v>852713</v>
      </c>
      <c r="H42" s="39">
        <f>+H39+E42-G42</f>
        <v>922086</v>
      </c>
      <c r="I42" s="233"/>
    </row>
    <row r="43" spans="3:9" x14ac:dyDescent="0.25">
      <c r="C43" s="47">
        <v>12</v>
      </c>
      <c r="D43" s="35" t="s">
        <v>56</v>
      </c>
      <c r="E43" s="35">
        <f>231000+405000</f>
        <v>636000</v>
      </c>
      <c r="F43" s="36"/>
      <c r="G43" s="36"/>
      <c r="H43" s="36"/>
      <c r="I43" s="233"/>
    </row>
    <row r="44" spans="3:9" x14ac:dyDescent="0.25">
      <c r="C44" s="47">
        <v>12</v>
      </c>
      <c r="D44" s="35" t="s">
        <v>57</v>
      </c>
      <c r="E44" s="35">
        <f>48000+275500</f>
        <v>323500</v>
      </c>
      <c r="F44" s="36"/>
      <c r="G44" s="36"/>
      <c r="H44" s="36"/>
      <c r="I44" s="233"/>
    </row>
    <row r="45" spans="3:9" x14ac:dyDescent="0.25">
      <c r="C45" s="37" t="s">
        <v>58</v>
      </c>
      <c r="D45" s="38"/>
      <c r="E45" s="38">
        <f>SUM(E43:E44)</f>
        <v>959500</v>
      </c>
      <c r="F45" s="38">
        <f>SUM(F43:F44)</f>
        <v>0</v>
      </c>
      <c r="G45" s="39">
        <f>+'EGRESOS '!K224</f>
        <v>511402</v>
      </c>
      <c r="H45" s="39">
        <f>+H42+E45-G45</f>
        <v>1370184</v>
      </c>
      <c r="I45" s="233"/>
    </row>
    <row r="46" spans="3:9" x14ac:dyDescent="0.25">
      <c r="C46" s="46">
        <v>13</v>
      </c>
      <c r="D46" s="35" t="s">
        <v>56</v>
      </c>
      <c r="E46" s="35">
        <f>237000+414400</f>
        <v>651400</v>
      </c>
      <c r="F46" s="36"/>
      <c r="G46" s="36"/>
      <c r="H46" s="36"/>
      <c r="I46" s="234" t="s">
        <v>194</v>
      </c>
    </row>
    <row r="47" spans="3:9" x14ac:dyDescent="0.25">
      <c r="C47" s="46">
        <v>13</v>
      </c>
      <c r="D47" s="35" t="s">
        <v>57</v>
      </c>
      <c r="E47" s="35">
        <v>208000</v>
      </c>
      <c r="F47" s="36"/>
      <c r="G47" s="36"/>
      <c r="H47" s="36"/>
      <c r="I47" s="234"/>
    </row>
    <row r="48" spans="3:9" x14ac:dyDescent="0.25">
      <c r="C48" s="37" t="s">
        <v>58</v>
      </c>
      <c r="D48" s="38"/>
      <c r="E48" s="38">
        <f>SUM(E46:E47)</f>
        <v>859400</v>
      </c>
      <c r="F48" s="38">
        <f>SUM(F46:F47)</f>
        <v>0</v>
      </c>
      <c r="G48" s="39">
        <f>+'EGRESOS '!K242</f>
        <v>310410</v>
      </c>
      <c r="H48" s="39">
        <f>+H45+E48-G48</f>
        <v>1919174</v>
      </c>
      <c r="I48" s="234"/>
    </row>
    <row r="49" spans="3:9" x14ac:dyDescent="0.25">
      <c r="C49" s="48">
        <v>14</v>
      </c>
      <c r="D49" s="35" t="s">
        <v>56</v>
      </c>
      <c r="E49" s="35">
        <f>152000+157000</f>
        <v>309000</v>
      </c>
      <c r="F49" s="36"/>
      <c r="G49" s="36"/>
      <c r="H49" s="36"/>
      <c r="I49" s="233"/>
    </row>
    <row r="50" spans="3:9" x14ac:dyDescent="0.25">
      <c r="C50" s="48">
        <v>14</v>
      </c>
      <c r="D50" s="35" t="s">
        <v>57</v>
      </c>
      <c r="E50" s="35">
        <f>58000+244000</f>
        <v>302000</v>
      </c>
      <c r="F50" s="36"/>
      <c r="G50" s="36"/>
      <c r="H50" s="36"/>
      <c r="I50" s="233"/>
    </row>
    <row r="51" spans="3:9" x14ac:dyDescent="0.25">
      <c r="C51" s="37" t="s">
        <v>58</v>
      </c>
      <c r="D51" s="38"/>
      <c r="E51" s="38">
        <f>SUM(E49:E50)</f>
        <v>611000</v>
      </c>
      <c r="F51" s="38">
        <f>SUM(F49:F50)</f>
        <v>0</v>
      </c>
      <c r="G51" s="39">
        <f>+'EGRESOS '!K261</f>
        <v>876008</v>
      </c>
      <c r="H51" s="39">
        <f>+H48+E51-G51</f>
        <v>1654166</v>
      </c>
      <c r="I51" s="233"/>
    </row>
    <row r="52" spans="3:9" x14ac:dyDescent="0.25">
      <c r="C52" s="47">
        <v>15</v>
      </c>
      <c r="D52" s="35" t="s">
        <v>56</v>
      </c>
      <c r="E52" s="35">
        <f>236000+561000</f>
        <v>797000</v>
      </c>
      <c r="F52" s="36"/>
      <c r="G52" s="36"/>
      <c r="H52" s="36"/>
      <c r="I52" s="233"/>
    </row>
    <row r="53" spans="3:9" x14ac:dyDescent="0.25">
      <c r="C53" s="47">
        <v>15</v>
      </c>
      <c r="D53" s="35" t="s">
        <v>57</v>
      </c>
      <c r="E53" s="35">
        <v>173000</v>
      </c>
      <c r="F53" s="36"/>
      <c r="G53" s="36"/>
      <c r="H53" s="36"/>
      <c r="I53" s="233"/>
    </row>
    <row r="54" spans="3:9" x14ac:dyDescent="0.25">
      <c r="C54" s="37" t="s">
        <v>58</v>
      </c>
      <c r="D54" s="38"/>
      <c r="E54" s="38">
        <f>SUM(E52:E53)</f>
        <v>970000</v>
      </c>
      <c r="F54" s="38">
        <f>SUM(F52:F53)</f>
        <v>0</v>
      </c>
      <c r="G54" s="39">
        <f>+'EGRESOS '!K280</f>
        <v>430327</v>
      </c>
      <c r="H54" s="39">
        <f>+H51+E54-G54</f>
        <v>2193839</v>
      </c>
      <c r="I54" s="233"/>
    </row>
    <row r="55" spans="3:9" x14ac:dyDescent="0.25">
      <c r="C55" s="42">
        <v>16</v>
      </c>
      <c r="D55" s="35" t="s">
        <v>56</v>
      </c>
      <c r="E55" s="35">
        <f>59000+820000</f>
        <v>879000</v>
      </c>
      <c r="F55" s="36"/>
      <c r="G55" s="36"/>
      <c r="H55" s="36"/>
      <c r="I55" s="233"/>
    </row>
    <row r="56" spans="3:9" x14ac:dyDescent="0.25">
      <c r="C56" s="42">
        <v>16</v>
      </c>
      <c r="D56" s="35" t="s">
        <v>57</v>
      </c>
      <c r="E56" s="35">
        <f>19000+44000+270000</f>
        <v>333000</v>
      </c>
      <c r="F56" s="36"/>
      <c r="G56" s="36"/>
      <c r="H56" s="36"/>
      <c r="I56" s="233"/>
    </row>
    <row r="57" spans="3:9" x14ac:dyDescent="0.25">
      <c r="C57" s="37" t="s">
        <v>58</v>
      </c>
      <c r="D57" s="38"/>
      <c r="E57" s="38">
        <f>SUM(E55:E56)</f>
        <v>1212000</v>
      </c>
      <c r="F57" s="38">
        <f>SUM(F55:F56)</f>
        <v>0</v>
      </c>
      <c r="G57" s="39">
        <f>+'EGRESOS '!K298</f>
        <v>486545</v>
      </c>
      <c r="H57" s="39">
        <f>+H54+E57-G57</f>
        <v>2919294</v>
      </c>
      <c r="I57" s="233"/>
    </row>
    <row r="58" spans="3:9" x14ac:dyDescent="0.25">
      <c r="C58" s="47">
        <v>17</v>
      </c>
      <c r="D58" s="35" t="s">
        <v>56</v>
      </c>
      <c r="E58" s="35">
        <f>519000+330000</f>
        <v>849000</v>
      </c>
      <c r="F58" s="36"/>
      <c r="G58" s="36"/>
      <c r="H58" s="36"/>
      <c r="I58" s="238" t="s">
        <v>198</v>
      </c>
    </row>
    <row r="59" spans="3:9" x14ac:dyDescent="0.25">
      <c r="C59" s="47">
        <v>17</v>
      </c>
      <c r="D59" s="35" t="s">
        <v>57</v>
      </c>
      <c r="E59" s="35">
        <f>124000+94000</f>
        <v>218000</v>
      </c>
      <c r="F59" s="36"/>
      <c r="G59" s="36"/>
      <c r="H59" s="36"/>
      <c r="I59" s="238"/>
    </row>
    <row r="60" spans="3:9" x14ac:dyDescent="0.25">
      <c r="C60" s="37" t="s">
        <v>58</v>
      </c>
      <c r="D60" s="38"/>
      <c r="E60" s="38">
        <f>SUM(E58:E59)</f>
        <v>1067000</v>
      </c>
      <c r="F60" s="38">
        <f>SUM(F58:F59)</f>
        <v>0</v>
      </c>
      <c r="G60" s="39">
        <f>+'EGRESOS '!K317</f>
        <v>748651</v>
      </c>
      <c r="H60" s="39">
        <f>+H57+E60-G60</f>
        <v>3237643</v>
      </c>
      <c r="I60" s="238"/>
    </row>
    <row r="61" spans="3:9" x14ac:dyDescent="0.25">
      <c r="C61" s="46">
        <v>18</v>
      </c>
      <c r="D61" s="35" t="s">
        <v>56</v>
      </c>
      <c r="E61" s="35">
        <f>247000+305000</f>
        <v>552000</v>
      </c>
      <c r="F61" s="36"/>
      <c r="G61" s="36"/>
      <c r="H61" s="36"/>
      <c r="I61" s="234" t="s">
        <v>200</v>
      </c>
    </row>
    <row r="62" spans="3:9" x14ac:dyDescent="0.25">
      <c r="C62" s="46">
        <v>18</v>
      </c>
      <c r="D62" s="35" t="s">
        <v>57</v>
      </c>
      <c r="E62" s="35">
        <v>337000</v>
      </c>
      <c r="F62" s="36"/>
      <c r="G62" s="36"/>
      <c r="H62" s="36"/>
      <c r="I62" s="234"/>
    </row>
    <row r="63" spans="3:9" x14ac:dyDescent="0.25">
      <c r="C63" s="37" t="s">
        <v>58</v>
      </c>
      <c r="D63" s="38"/>
      <c r="E63" s="38">
        <f>SUM(E61:E62)</f>
        <v>889000</v>
      </c>
      <c r="F63" s="38">
        <f>SUM(F61:F62)</f>
        <v>0</v>
      </c>
      <c r="G63" s="39">
        <f>+'EGRESOS '!K333</f>
        <v>603711</v>
      </c>
      <c r="H63" s="39">
        <f>+H60+E63-G63</f>
        <v>3522932</v>
      </c>
      <c r="I63" s="234"/>
    </row>
    <row r="64" spans="3:9" x14ac:dyDescent="0.25">
      <c r="C64" s="48">
        <v>19</v>
      </c>
      <c r="D64" s="35" t="s">
        <v>56</v>
      </c>
      <c r="E64" s="35">
        <f>135000+252500</f>
        <v>387500</v>
      </c>
      <c r="F64" s="36"/>
      <c r="G64" s="36"/>
      <c r="H64" s="36"/>
      <c r="I64" s="233"/>
    </row>
    <row r="65" spans="3:9" x14ac:dyDescent="0.25">
      <c r="C65" s="48">
        <v>19</v>
      </c>
      <c r="D65" s="35" t="s">
        <v>57</v>
      </c>
      <c r="E65" s="35">
        <f>24000+20000</f>
        <v>44000</v>
      </c>
      <c r="F65" s="36"/>
      <c r="G65" s="36"/>
      <c r="H65" s="36"/>
      <c r="I65" s="233"/>
    </row>
    <row r="66" spans="3:9" x14ac:dyDescent="0.25">
      <c r="C66" s="37" t="s">
        <v>58</v>
      </c>
      <c r="D66" s="38"/>
      <c r="E66" s="38">
        <f>SUM(E64:E65)</f>
        <v>431500</v>
      </c>
      <c r="F66" s="38">
        <f>SUM(F64:F65)</f>
        <v>0</v>
      </c>
      <c r="G66" s="39">
        <f>+'EGRESOS '!K351</f>
        <v>340613</v>
      </c>
      <c r="H66" s="39">
        <f>+H63+E66-G66</f>
        <v>3613819</v>
      </c>
      <c r="I66" s="233"/>
    </row>
    <row r="67" spans="3:9" x14ac:dyDescent="0.25">
      <c r="C67" s="49">
        <v>20</v>
      </c>
      <c r="D67" s="35" t="s">
        <v>56</v>
      </c>
      <c r="E67" s="35">
        <f>131500+331000</f>
        <v>462500</v>
      </c>
      <c r="F67" s="36"/>
      <c r="G67" s="36"/>
      <c r="H67" s="36"/>
      <c r="I67" s="233"/>
    </row>
    <row r="68" spans="3:9" x14ac:dyDescent="0.25">
      <c r="C68" s="49">
        <v>20</v>
      </c>
      <c r="D68" s="35" t="s">
        <v>57</v>
      </c>
      <c r="E68" s="35">
        <v>491000</v>
      </c>
      <c r="F68" s="36"/>
      <c r="G68" s="36"/>
      <c r="H68" s="36"/>
      <c r="I68" s="233"/>
    </row>
    <row r="69" spans="3:9" x14ac:dyDescent="0.25">
      <c r="C69" s="37" t="s">
        <v>58</v>
      </c>
      <c r="D69" s="38"/>
      <c r="E69" s="38">
        <f>SUM(E67:E68)</f>
        <v>953500</v>
      </c>
      <c r="F69" s="38">
        <f>SUM(F67:F68)</f>
        <v>0</v>
      </c>
      <c r="G69" s="39">
        <f>+'EGRESOS '!K371</f>
        <v>629130</v>
      </c>
      <c r="H69" s="39">
        <f>+H66+E69-G69</f>
        <v>3938189</v>
      </c>
      <c r="I69" s="233"/>
    </row>
    <row r="70" spans="3:9" x14ac:dyDescent="0.25">
      <c r="C70" s="47">
        <v>21</v>
      </c>
      <c r="D70" s="35" t="s">
        <v>56</v>
      </c>
      <c r="E70" s="35">
        <f>199000+492700</f>
        <v>691700</v>
      </c>
      <c r="F70" s="36"/>
      <c r="G70" s="36"/>
      <c r="H70" s="36"/>
      <c r="I70" s="233"/>
    </row>
    <row r="71" spans="3:9" x14ac:dyDescent="0.25">
      <c r="C71" s="47">
        <v>21</v>
      </c>
      <c r="D71" s="35" t="s">
        <v>57</v>
      </c>
      <c r="E71" s="35">
        <f>42000+207500</f>
        <v>249500</v>
      </c>
      <c r="F71" s="36"/>
      <c r="G71" s="36"/>
      <c r="H71" s="36"/>
      <c r="I71" s="233"/>
    </row>
    <row r="72" spans="3:9" x14ac:dyDescent="0.25">
      <c r="C72" s="37" t="s">
        <v>58</v>
      </c>
      <c r="D72" s="38"/>
      <c r="E72" s="38">
        <f>SUM(E70:E71)</f>
        <v>941200</v>
      </c>
      <c r="F72" s="38">
        <f>SUM(F70:F71)</f>
        <v>0</v>
      </c>
      <c r="G72" s="39">
        <f>+'EGRESOS '!K390</f>
        <v>569782</v>
      </c>
      <c r="H72" s="39">
        <f>+H69+E72-G72</f>
        <v>4309607</v>
      </c>
      <c r="I72" s="233"/>
    </row>
    <row r="73" spans="3:9" x14ac:dyDescent="0.25">
      <c r="C73" s="50">
        <v>22</v>
      </c>
      <c r="D73" s="35" t="s">
        <v>56</v>
      </c>
      <c r="E73" s="35">
        <f>185500+542000</f>
        <v>727500</v>
      </c>
      <c r="F73" s="36"/>
      <c r="G73" s="36"/>
      <c r="H73" s="36"/>
      <c r="I73" s="234" t="s">
        <v>203</v>
      </c>
    </row>
    <row r="74" spans="3:9" x14ac:dyDescent="0.25">
      <c r="C74" s="50">
        <v>22</v>
      </c>
      <c r="D74" s="35" t="s">
        <v>57</v>
      </c>
      <c r="E74" s="35">
        <v>152500</v>
      </c>
      <c r="F74" s="36"/>
      <c r="G74" s="36"/>
      <c r="H74" s="36"/>
      <c r="I74" s="234"/>
    </row>
    <row r="75" spans="3:9" x14ac:dyDescent="0.25">
      <c r="C75" s="37" t="s">
        <v>58</v>
      </c>
      <c r="D75" s="38"/>
      <c r="E75" s="38">
        <f>SUM(E73:E74)</f>
        <v>880000</v>
      </c>
      <c r="F75" s="38">
        <f>SUM(F73:F74)</f>
        <v>0</v>
      </c>
      <c r="G75" s="39">
        <f>+'EGRESOS '!K409</f>
        <v>612317</v>
      </c>
      <c r="H75" s="39">
        <f>+H72+E75-G75</f>
        <v>4577290</v>
      </c>
      <c r="I75" s="234"/>
    </row>
    <row r="76" spans="3:9" x14ac:dyDescent="0.25">
      <c r="C76" s="46">
        <v>23</v>
      </c>
      <c r="D76" s="35" t="s">
        <v>56</v>
      </c>
      <c r="E76" s="35">
        <f>127000+611200</f>
        <v>738200</v>
      </c>
      <c r="F76" s="36"/>
      <c r="G76" s="36"/>
      <c r="H76" s="36"/>
      <c r="I76" s="233"/>
    </row>
    <row r="77" spans="3:9" x14ac:dyDescent="0.25">
      <c r="C77" s="46">
        <v>23</v>
      </c>
      <c r="D77" s="35" t="s">
        <v>57</v>
      </c>
      <c r="E77" s="35">
        <f>100000+301500</f>
        <v>401500</v>
      </c>
      <c r="F77" s="36"/>
      <c r="G77" s="36"/>
      <c r="H77" s="36"/>
      <c r="I77" s="233"/>
    </row>
    <row r="78" spans="3:9" x14ac:dyDescent="0.25">
      <c r="C78" s="37" t="s">
        <v>58</v>
      </c>
      <c r="D78" s="38"/>
      <c r="E78" s="38">
        <f>SUM(E76:E77)</f>
        <v>1139700</v>
      </c>
      <c r="F78" s="38">
        <f>SUM(F76:F77)</f>
        <v>0</v>
      </c>
      <c r="G78" s="39">
        <f>+'EGRESOS '!K425</f>
        <v>349926</v>
      </c>
      <c r="H78" s="39">
        <f>+H75+E78-G78</f>
        <v>5367064</v>
      </c>
      <c r="I78" s="233"/>
    </row>
    <row r="79" spans="3:9" x14ac:dyDescent="0.25">
      <c r="C79" s="49">
        <v>24</v>
      </c>
      <c r="D79" s="35" t="s">
        <v>56</v>
      </c>
      <c r="E79" s="35">
        <f>241000+506000</f>
        <v>747000</v>
      </c>
      <c r="F79" s="36"/>
      <c r="G79" s="36"/>
      <c r="H79" s="36"/>
      <c r="I79" s="233"/>
    </row>
    <row r="80" spans="3:9" x14ac:dyDescent="0.25">
      <c r="C80" s="49">
        <v>24</v>
      </c>
      <c r="D80" s="35" t="s">
        <v>57</v>
      </c>
      <c r="E80" s="35">
        <f>85000+139000</f>
        <v>224000</v>
      </c>
      <c r="F80" s="36"/>
      <c r="G80" s="36"/>
      <c r="H80" s="36"/>
      <c r="I80" s="233"/>
    </row>
    <row r="81" spans="3:10" x14ac:dyDescent="0.25">
      <c r="C81" s="37" t="s">
        <v>58</v>
      </c>
      <c r="D81" s="38"/>
      <c r="E81" s="38">
        <f>SUM(E79:E80)</f>
        <v>971000</v>
      </c>
      <c r="F81" s="38">
        <f>SUM(F79:F80)</f>
        <v>0</v>
      </c>
      <c r="G81" s="39">
        <f>+'EGRESOS '!K443</f>
        <v>701988</v>
      </c>
      <c r="H81" s="39">
        <f>+H78+E81-G81</f>
        <v>5636076</v>
      </c>
      <c r="I81" s="233"/>
    </row>
    <row r="82" spans="3:10" x14ac:dyDescent="0.25">
      <c r="C82" s="51">
        <v>25</v>
      </c>
      <c r="D82" s="35" t="s">
        <v>56</v>
      </c>
      <c r="E82" s="35">
        <f>171000+455000</f>
        <v>626000</v>
      </c>
      <c r="F82" s="36"/>
      <c r="G82" s="36"/>
      <c r="H82" s="36"/>
      <c r="I82" s="233"/>
    </row>
    <row r="83" spans="3:10" x14ac:dyDescent="0.25">
      <c r="C83" s="51">
        <v>25</v>
      </c>
      <c r="D83" s="35" t="s">
        <v>57</v>
      </c>
      <c r="E83" s="35">
        <f>29000+196000</f>
        <v>225000</v>
      </c>
      <c r="F83" s="36"/>
      <c r="G83" s="36"/>
      <c r="H83" s="36"/>
      <c r="I83" s="233"/>
    </row>
    <row r="84" spans="3:10" x14ac:dyDescent="0.25">
      <c r="C84" s="37" t="s">
        <v>58</v>
      </c>
      <c r="D84" s="38"/>
      <c r="E84" s="38">
        <f>SUM(E82:E83)</f>
        <v>851000</v>
      </c>
      <c r="F84" s="38">
        <f>SUM(F82:F83)</f>
        <v>0</v>
      </c>
      <c r="G84" s="39">
        <f>+'EGRESOS '!K460</f>
        <v>592867</v>
      </c>
      <c r="H84" s="39">
        <f>+H81+E84-G84</f>
        <v>5894209</v>
      </c>
      <c r="I84" s="233"/>
    </row>
    <row r="85" spans="3:10" x14ac:dyDescent="0.25">
      <c r="C85" s="46">
        <v>26</v>
      </c>
      <c r="D85" s="35" t="s">
        <v>56</v>
      </c>
      <c r="E85" s="35">
        <f>131500+273000</f>
        <v>404500</v>
      </c>
      <c r="F85" s="36"/>
      <c r="G85" s="36"/>
      <c r="H85" s="36"/>
      <c r="I85" s="233"/>
    </row>
    <row r="86" spans="3:10" x14ac:dyDescent="0.25">
      <c r="C86" s="46">
        <v>26</v>
      </c>
      <c r="D86" s="35" t="s">
        <v>57</v>
      </c>
      <c r="E86" s="35">
        <f>91000+267000</f>
        <v>358000</v>
      </c>
      <c r="F86" s="36"/>
      <c r="G86" s="36"/>
      <c r="H86" s="36"/>
      <c r="I86" s="233"/>
    </row>
    <row r="87" spans="3:10" x14ac:dyDescent="0.25">
      <c r="C87" s="37" t="s">
        <v>58</v>
      </c>
      <c r="D87" s="38"/>
      <c r="E87" s="38">
        <f>SUM(E85:E86)</f>
        <v>762500</v>
      </c>
      <c r="F87" s="38">
        <f>SUM(F85:F86)</f>
        <v>0</v>
      </c>
      <c r="G87" s="39">
        <f>+'EGRESOS '!K477</f>
        <v>480775</v>
      </c>
      <c r="H87" s="39">
        <f>+H84+E87-G87</f>
        <v>6175934</v>
      </c>
      <c r="I87" s="233"/>
    </row>
    <row r="88" spans="3:10" x14ac:dyDescent="0.25">
      <c r="C88" s="50">
        <v>27</v>
      </c>
      <c r="D88" s="35" t="s">
        <v>56</v>
      </c>
      <c r="E88" s="35">
        <f>565000+158000</f>
        <v>723000</v>
      </c>
      <c r="F88" s="36"/>
      <c r="G88" s="36"/>
      <c r="H88" s="36"/>
      <c r="I88" s="233"/>
    </row>
    <row r="89" spans="3:10" x14ac:dyDescent="0.25">
      <c r="C89" s="50">
        <v>27</v>
      </c>
      <c r="D89" s="35" t="s">
        <v>57</v>
      </c>
      <c r="E89" s="35">
        <f>160000+205000</f>
        <v>365000</v>
      </c>
      <c r="F89" s="36"/>
      <c r="G89" s="36"/>
      <c r="H89" s="36"/>
      <c r="I89" s="233"/>
    </row>
    <row r="90" spans="3:10" x14ac:dyDescent="0.25">
      <c r="C90" s="37" t="s">
        <v>58</v>
      </c>
      <c r="D90" s="38"/>
      <c r="E90" s="38">
        <f>SUM(E88:E89)</f>
        <v>1088000</v>
      </c>
      <c r="F90" s="38">
        <f>SUM(F88:F89)</f>
        <v>0</v>
      </c>
      <c r="G90" s="39">
        <f>+'EGRESOS '!K494</f>
        <v>703737</v>
      </c>
      <c r="H90" s="39">
        <f>+H87+E90-G90</f>
        <v>6560197</v>
      </c>
      <c r="I90" s="233"/>
    </row>
    <row r="91" spans="3:10" x14ac:dyDescent="0.25">
      <c r="C91" s="52">
        <v>28</v>
      </c>
      <c r="D91" s="35" t="s">
        <v>56</v>
      </c>
      <c r="E91" s="35">
        <f>187000+716000</f>
        <v>903000</v>
      </c>
      <c r="F91" s="36"/>
      <c r="G91" s="36"/>
      <c r="H91" s="36"/>
      <c r="I91" s="233"/>
      <c r="J91" s="127"/>
    </row>
    <row r="92" spans="3:10" x14ac:dyDescent="0.25">
      <c r="C92" s="52">
        <v>28</v>
      </c>
      <c r="D92" s="35" t="s">
        <v>57</v>
      </c>
      <c r="E92" s="35">
        <f>86000+260000</f>
        <v>346000</v>
      </c>
      <c r="F92" s="36"/>
      <c r="G92" s="36"/>
      <c r="H92" s="36"/>
      <c r="I92" s="233"/>
      <c r="J92" s="127"/>
    </row>
    <row r="93" spans="3:10" x14ac:dyDescent="0.25">
      <c r="C93" s="37" t="s">
        <v>58</v>
      </c>
      <c r="D93" s="38"/>
      <c r="E93" s="38">
        <f>SUM(E91:E92)</f>
        <v>1249000</v>
      </c>
      <c r="F93" s="38">
        <f>SUM(F91:F92)</f>
        <v>0</v>
      </c>
      <c r="G93" s="39">
        <f>+'EGRESOS '!K511</f>
        <v>891326</v>
      </c>
      <c r="H93" s="39">
        <f>+H90+E93-G93</f>
        <v>6917871</v>
      </c>
      <c r="I93" s="233"/>
      <c r="J93" s="127"/>
    </row>
    <row r="94" spans="3:10" x14ac:dyDescent="0.25">
      <c r="C94" s="53">
        <v>29</v>
      </c>
      <c r="D94" s="35" t="s">
        <v>56</v>
      </c>
      <c r="E94" s="35">
        <f>297000+305000</f>
        <v>602000</v>
      </c>
      <c r="F94" s="36"/>
      <c r="G94" s="36"/>
      <c r="H94" s="36"/>
      <c r="I94" s="233"/>
    </row>
    <row r="95" spans="3:10" x14ac:dyDescent="0.25">
      <c r="C95" s="53">
        <v>29</v>
      </c>
      <c r="D95" s="35" t="s">
        <v>57</v>
      </c>
      <c r="E95" s="35">
        <f>141000+161500</f>
        <v>302500</v>
      </c>
      <c r="F95" s="36"/>
      <c r="G95" s="36"/>
      <c r="H95" s="36"/>
      <c r="I95" s="233"/>
    </row>
    <row r="96" spans="3:10" x14ac:dyDescent="0.25">
      <c r="C96" s="37" t="s">
        <v>58</v>
      </c>
      <c r="D96" s="38"/>
      <c r="E96" s="38">
        <f>SUM(E94:E95)</f>
        <v>904500</v>
      </c>
      <c r="F96" s="38">
        <f>SUM(F94:F95)</f>
        <v>0</v>
      </c>
      <c r="G96" s="39">
        <f>+'EGRESOS '!K528</f>
        <v>616829</v>
      </c>
      <c r="H96" s="39">
        <f>+H93+E96-G96</f>
        <v>7205542</v>
      </c>
      <c r="I96" s="233"/>
    </row>
    <row r="97" spans="3:9" x14ac:dyDescent="0.25">
      <c r="C97" s="54">
        <v>30</v>
      </c>
      <c r="D97" s="35" t="s">
        <v>56</v>
      </c>
      <c r="E97" s="35">
        <f>258000+414000</f>
        <v>672000</v>
      </c>
      <c r="F97" s="36"/>
      <c r="G97" s="36"/>
      <c r="H97" s="36"/>
      <c r="I97" s="233"/>
    </row>
    <row r="98" spans="3:9" x14ac:dyDescent="0.25">
      <c r="C98" s="54">
        <v>30</v>
      </c>
      <c r="D98" s="35" t="s">
        <v>57</v>
      </c>
      <c r="E98" s="35">
        <f>150500+110000</f>
        <v>260500</v>
      </c>
      <c r="F98" s="36"/>
      <c r="G98" s="36"/>
      <c r="H98" s="36"/>
      <c r="I98" s="233"/>
    </row>
    <row r="99" spans="3:9" x14ac:dyDescent="0.25">
      <c r="C99" s="37" t="s">
        <v>58</v>
      </c>
      <c r="D99" s="38"/>
      <c r="E99" s="38">
        <f>SUM(E97:E98)</f>
        <v>932500</v>
      </c>
      <c r="F99" s="38">
        <f>SUM(F97:F98)</f>
        <v>0</v>
      </c>
      <c r="G99" s="39">
        <f>+'EGRESOS '!K545</f>
        <v>320900</v>
      </c>
      <c r="H99" s="39">
        <f>+H96+E99-G99</f>
        <v>7817142</v>
      </c>
      <c r="I99" s="233"/>
    </row>
    <row r="100" spans="3:9" x14ac:dyDescent="0.25">
      <c r="C100" s="46">
        <v>31</v>
      </c>
      <c r="D100" s="35" t="s">
        <v>56</v>
      </c>
      <c r="E100" s="35"/>
      <c r="F100" s="36"/>
      <c r="G100" s="36"/>
      <c r="H100" s="36"/>
      <c r="I100" s="233"/>
    </row>
    <row r="101" spans="3:9" x14ac:dyDescent="0.25">
      <c r="C101" s="46">
        <v>31</v>
      </c>
      <c r="D101" s="35" t="s">
        <v>57</v>
      </c>
      <c r="E101" s="35"/>
      <c r="F101" s="36"/>
      <c r="G101" s="36"/>
      <c r="H101" s="36"/>
      <c r="I101" s="233"/>
    </row>
    <row r="102" spans="3:9" x14ac:dyDescent="0.25">
      <c r="C102" s="37" t="s">
        <v>58</v>
      </c>
      <c r="D102" s="38"/>
      <c r="E102" s="38">
        <f>SUM(E100:E101)</f>
        <v>0</v>
      </c>
      <c r="F102" s="38">
        <f>SUM(F100:F101)</f>
        <v>0</v>
      </c>
      <c r="G102" s="39">
        <f>+'EGRESOS '!K562</f>
        <v>0</v>
      </c>
      <c r="H102" s="39">
        <f>+H99+E102-G102</f>
        <v>7817142</v>
      </c>
      <c r="I102" s="233"/>
    </row>
    <row r="103" spans="3:9" ht="15.75" thickBot="1" x14ac:dyDescent="0.3">
      <c r="C103" s="239" t="s">
        <v>12</v>
      </c>
      <c r="D103" s="240"/>
      <c r="E103" s="76">
        <f>+E102+E99+E96+E93+E90+E87+E84+E81+E78+E75+E72+E69+E66+E63+E60+E57+E54+E51+E48+E45+E42+E39+E36+E33+E30+E27+E24+E21+E18+E15+E12</f>
        <v>27698300</v>
      </c>
      <c r="F103" s="76">
        <f>+F102+F99+F96+F93+F90+F87+F84+F81+F78+F75+F72+F69+F66+F63+F60+F57+F54+F51+F48+F45+F42+F39+F36+F33+F30+F27+F24+F21+F18+F15+F12</f>
        <v>0</v>
      </c>
      <c r="G103" s="77">
        <f>+G102+G99+G96+G93+G90+G87+G84+G81+G78+G75+G72+G69+G66+G63+G60+G57+G54+G51+G48+G45+G42+G39+G36+G33+G30+G27+G24+G21+G18+G15+G12</f>
        <v>19881158</v>
      </c>
      <c r="H103" s="77">
        <f>+E103-G103</f>
        <v>7817142</v>
      </c>
      <c r="I103" s="7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opLeftCell="B1" zoomScale="70" zoomScaleNormal="70" workbookViewId="0">
      <selection activeCell="G27" sqref="G27"/>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42" t="s">
        <v>49</v>
      </c>
      <c r="D3" s="243"/>
      <c r="F3" s="241"/>
      <c r="G3" s="241"/>
      <c r="H3" s="241"/>
      <c r="I3" s="241"/>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19595300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8103000</v>
      </c>
      <c r="E5" s="71"/>
      <c r="F5" s="71"/>
      <c r="G5" s="71"/>
      <c r="H5" s="71"/>
      <c r="I5" s="71"/>
      <c r="J5" s="80"/>
      <c r="K5" s="71"/>
    </row>
    <row r="6" spans="3:11" x14ac:dyDescent="0.25">
      <c r="C6" s="82" t="s">
        <v>12</v>
      </c>
      <c r="D6" s="83">
        <f>+D4+D5</f>
        <v>27698300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44" t="s">
        <v>60</v>
      </c>
      <c r="D12" s="245"/>
      <c r="E12" s="68" t="s">
        <v>61</v>
      </c>
      <c r="F12" s="68" t="s">
        <v>62</v>
      </c>
      <c r="G12" s="68" t="s">
        <v>63</v>
      </c>
      <c r="H12" s="68" t="s">
        <v>9</v>
      </c>
      <c r="I12" s="38" t="s">
        <v>64</v>
      </c>
    </row>
    <row r="13" spans="3:11" x14ac:dyDescent="0.25">
      <c r="C13" s="246" t="s">
        <v>27</v>
      </c>
      <c r="D13" s="247"/>
      <c r="E13" s="68">
        <f>+'EGRESOS '!F564</f>
        <v>11554261</v>
      </c>
      <c r="F13" s="68">
        <f>+'EGRESOS '!G564</f>
        <v>5345200</v>
      </c>
      <c r="G13" s="68">
        <f>+'EGRESOS '!H564</f>
        <v>2139097</v>
      </c>
      <c r="H13" s="68">
        <f>+'EGRESOS '!I564</f>
        <v>842600</v>
      </c>
      <c r="I13" s="38">
        <f>SUM(E13:H13)</f>
        <v>19881158</v>
      </c>
    </row>
    <row r="14" spans="3:11" x14ac:dyDescent="0.25">
      <c r="C14" s="248" t="s">
        <v>65</v>
      </c>
      <c r="D14" s="249"/>
      <c r="E14" s="86">
        <f>+IFERROR(E13/I13,"revisar")</f>
        <v>0.58116639885865806</v>
      </c>
      <c r="F14" s="86">
        <f>+IFERROR(F13/I13,"revisar")</f>
        <v>0.26885757861790543</v>
      </c>
      <c r="G14" s="86">
        <f>+IFERROR(G13/I13,"revisar")</f>
        <v>0.10759418540911952</v>
      </c>
      <c r="H14" s="86">
        <f>+IFERROR(H13/I13,"revisar")</f>
        <v>4.2381837114316985E-2</v>
      </c>
      <c r="I14" s="86">
        <f>SUM(E14:H14)</f>
        <v>1</v>
      </c>
    </row>
    <row r="15" spans="3:11" x14ac:dyDescent="0.25">
      <c r="C15" s="248" t="s">
        <v>66</v>
      </c>
      <c r="D15" s="249"/>
      <c r="E15" s="70"/>
      <c r="F15" s="70"/>
      <c r="G15" s="69"/>
      <c r="H15" s="69"/>
      <c r="I15" s="70"/>
    </row>
    <row r="16" spans="3:11" x14ac:dyDescent="0.25">
      <c r="C16" s="251" t="s">
        <v>67</v>
      </c>
      <c r="D16" s="252"/>
      <c r="E16" s="35"/>
      <c r="F16" s="35"/>
      <c r="G16" s="60"/>
      <c r="H16" s="60"/>
      <c r="I16" s="35"/>
    </row>
    <row r="17" spans="3:11" x14ac:dyDescent="0.25">
      <c r="C17" s="251" t="s">
        <v>68</v>
      </c>
      <c r="D17" s="252"/>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54"/>
      <c r="D20" s="254"/>
      <c r="E20" s="71"/>
      <c r="F20" s="89"/>
      <c r="G20" s="89"/>
      <c r="H20" s="90"/>
      <c r="I20" s="89"/>
      <c r="J20" s="80"/>
      <c r="K20" s="71"/>
    </row>
    <row r="21" spans="3:11" s="3" customFormat="1" x14ac:dyDescent="0.25">
      <c r="C21" s="255" t="s">
        <v>69</v>
      </c>
      <c r="D21" s="256"/>
      <c r="E21" s="71"/>
      <c r="G21" s="97"/>
      <c r="J21" s="80"/>
      <c r="K21" s="71"/>
    </row>
    <row r="22" spans="3:11" x14ac:dyDescent="0.25">
      <c r="C22" s="87" t="s">
        <v>59</v>
      </c>
      <c r="D22" s="88">
        <f>+'LIBRO DIARIO'!D39</f>
        <v>27698300</v>
      </c>
      <c r="F22" s="98"/>
      <c r="J22" s="80"/>
      <c r="K22" s="71"/>
    </row>
    <row r="23" spans="3:11" x14ac:dyDescent="0.25">
      <c r="C23" s="87" t="s">
        <v>70</v>
      </c>
      <c r="D23" s="88">
        <f>+'LIBRO DIARIO'!E39</f>
        <v>19881158</v>
      </c>
      <c r="E23" s="100">
        <f>IFERROR(D23/D22,"revisar")</f>
        <v>0.71777538693710441</v>
      </c>
      <c r="F23" s="253" t="s">
        <v>71</v>
      </c>
      <c r="G23" s="253"/>
      <c r="J23" s="80"/>
      <c r="K23" s="71"/>
    </row>
    <row r="24" spans="3:11" x14ac:dyDescent="0.25">
      <c r="C24" s="87" t="s">
        <v>72</v>
      </c>
      <c r="D24" s="88">
        <f>+D22-D23</f>
        <v>7817142</v>
      </c>
      <c r="E24" s="100">
        <f>IFERROR(D24/D22,"revisar")</f>
        <v>0.28222461306289554</v>
      </c>
      <c r="F24" s="253" t="s">
        <v>73</v>
      </c>
      <c r="G24" s="253"/>
      <c r="J24" s="80"/>
      <c r="K24" s="71"/>
    </row>
    <row r="25" spans="3:11" s="3" customFormat="1" x14ac:dyDescent="0.25">
      <c r="C25" s="71"/>
      <c r="D25" s="71"/>
      <c r="E25" s="85"/>
      <c r="J25" s="80"/>
      <c r="K25" s="71"/>
    </row>
    <row r="26" spans="3:11" s="3" customFormat="1" x14ac:dyDescent="0.25">
      <c r="C26" s="195" t="s">
        <v>166</v>
      </c>
      <c r="D26" s="116">
        <f>+ACCESORIOS!D405</f>
        <v>94000</v>
      </c>
      <c r="E26" s="85"/>
      <c r="J26" s="80"/>
      <c r="K26" s="71"/>
    </row>
    <row r="27" spans="3:11" s="3" customFormat="1" x14ac:dyDescent="0.25">
      <c r="C27" s="133" t="s">
        <v>167</v>
      </c>
      <c r="D27" s="62">
        <f ca="1">+SUMIF('CAJA FUERTE'!B6:D192,'CAJA FUERTE'!B11:B12,'CAJA FUERTE'!C6:C193)-SUMIF('CAJA FUERTE'!B6:D192,'CAJA FUERTE'!B11,'CAJA FUERTE'!D6:D193)</f>
        <v>0</v>
      </c>
      <c r="E27" s="85"/>
      <c r="J27" s="58"/>
    </row>
    <row r="28" spans="3:11" s="3" customFormat="1" x14ac:dyDescent="0.25">
      <c r="C28" s="132" t="s">
        <v>157</v>
      </c>
      <c r="D28" s="62">
        <f ca="1">+SUMIF('CAJA FUERTE'!$B$6:$F$192,'RESUMEN MES'!C28,'CAJA FUERTE'!$C$6:I21)-SUMIF('CAJA FUERTE'!B6:E192,'RESUMEN MES'!C28,'CAJA FUERTE'!D6:D192)</f>
        <v>0</v>
      </c>
      <c r="E28" s="85"/>
      <c r="I28" s="28"/>
      <c r="J28" s="58"/>
    </row>
    <row r="29" spans="3:11" s="3" customFormat="1" x14ac:dyDescent="0.25">
      <c r="C29" s="134" t="s">
        <v>163</v>
      </c>
      <c r="D29" s="62">
        <f ca="1">+'CAJA FUERTE'!F194</f>
        <v>645800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'!$D$9:$F$561,'RESUMEN MES'!C32,'EGRESOS '!$F$9:$F$561)</f>
        <v>1812725</v>
      </c>
      <c r="E32" s="62">
        <f ca="1">+IFERROR((D32*$E$31)/$E$13,"SIN DATOS")</f>
        <v>15.688800867489492</v>
      </c>
      <c r="I32" s="28"/>
      <c r="J32" s="58"/>
    </row>
    <row r="33" spans="3:10" s="3" customFormat="1" x14ac:dyDescent="0.25">
      <c r="C33" s="5" t="s">
        <v>124</v>
      </c>
      <c r="D33" s="116">
        <f ca="1">+SUMIF('EGRESOS '!$D$9:$F$561,'RESUMEN MES'!C33,'EGRESOS '!$F$9:$F$561)</f>
        <v>0</v>
      </c>
      <c r="E33" s="62">
        <f ca="1">+IFERROR((D33*$E$31)/$E$13,"SIN DATOS")</f>
        <v>0</v>
      </c>
      <c r="I33" s="28"/>
      <c r="J33" s="58"/>
    </row>
    <row r="34" spans="3:10" s="3" customFormat="1" x14ac:dyDescent="0.25">
      <c r="C34" s="5" t="s">
        <v>38</v>
      </c>
      <c r="D34" s="116">
        <f ca="1">+SUMIF('EGRESOS '!$D$9:$F$561,'RESUMEN MES'!C34,'EGRESOS '!$F$9:$F$561)</f>
        <v>606160</v>
      </c>
      <c r="E34" s="62">
        <f t="shared" ref="E34:E47" ca="1" si="0">+IFERROR((D34*$E$31)/$E$13,"SIN DATOS")</f>
        <v>5.2462031106965643</v>
      </c>
      <c r="F34" s="91"/>
      <c r="G34" s="28"/>
      <c r="H34" s="90"/>
      <c r="I34" s="28"/>
      <c r="J34" s="58"/>
    </row>
    <row r="35" spans="3:10" s="3" customFormat="1" x14ac:dyDescent="0.25">
      <c r="C35" s="5" t="s">
        <v>22</v>
      </c>
      <c r="D35" s="116">
        <f ca="1">+SUMIF('EGRESOS '!$D$9:$F$561,'RESUMEN MES'!C35,'EGRESOS '!$F$9:$F$561)</f>
        <v>2146000</v>
      </c>
      <c r="E35" s="62">
        <f t="shared" ca="1" si="0"/>
        <v>18.573234584193656</v>
      </c>
      <c r="F35" s="91"/>
      <c r="G35" s="28"/>
      <c r="H35" s="90"/>
      <c r="I35" s="28"/>
      <c r="J35" s="58"/>
    </row>
    <row r="36" spans="3:10" s="3" customFormat="1" x14ac:dyDescent="0.25">
      <c r="C36" s="5" t="s">
        <v>34</v>
      </c>
      <c r="D36" s="116">
        <f ca="1">+SUMIF('EGRESOS '!$D$9:$F$561,'RESUMEN MES'!C36,'EGRESOS '!$F$9:$F$561)</f>
        <v>210000</v>
      </c>
      <c r="E36" s="62">
        <f t="shared" ca="1" si="0"/>
        <v>1.8175113060021753</v>
      </c>
      <c r="F36" s="250"/>
      <c r="J36" s="58"/>
    </row>
    <row r="37" spans="3:10" s="3" customFormat="1" x14ac:dyDescent="0.25">
      <c r="C37" s="5" t="s">
        <v>15</v>
      </c>
      <c r="D37" s="116">
        <f ca="1">+SUMIF('EGRESOS '!$D$9:$F$561,'RESUMEN MES'!C37,'EGRESOS '!$F$9:$F$561)</f>
        <v>134400</v>
      </c>
      <c r="E37" s="62">
        <f t="shared" ca="1" si="0"/>
        <v>1.1632072358413923</v>
      </c>
      <c r="F37" s="250"/>
      <c r="J37" s="58"/>
    </row>
    <row r="38" spans="3:10" s="3" customFormat="1" x14ac:dyDescent="0.25">
      <c r="C38" s="5" t="s">
        <v>40</v>
      </c>
      <c r="D38" s="116">
        <f ca="1">+SUMIF('EGRESOS '!$D$9:$F$561,'RESUMEN MES'!C38,'EGRESOS '!$F$9:$F$561)</f>
        <v>571180</v>
      </c>
      <c r="E38" s="62">
        <f t="shared" ca="1" si="0"/>
        <v>4.9434576560110592</v>
      </c>
      <c r="F38" s="250"/>
      <c r="J38" s="58"/>
    </row>
    <row r="39" spans="3:10" s="3" customFormat="1" x14ac:dyDescent="0.25">
      <c r="C39" s="5" t="s">
        <v>19</v>
      </c>
      <c r="D39" s="116">
        <f ca="1">+SUMIF('EGRESOS '!$D$9:$F$561,'RESUMEN MES'!C39,'EGRESOS '!$F$9:$F$561)</f>
        <v>1018526</v>
      </c>
      <c r="E39" s="62">
        <f t="shared" ca="1" si="0"/>
        <v>8.8151548593198648</v>
      </c>
      <c r="F39" s="250"/>
      <c r="J39" s="58"/>
    </row>
    <row r="40" spans="3:10" s="3" customFormat="1" x14ac:dyDescent="0.25">
      <c r="C40" s="5" t="s">
        <v>18</v>
      </c>
      <c r="D40" s="116">
        <f ca="1">+SUMIF('EGRESOS '!$D$9:$F$561,'RESUMEN MES'!C40,'EGRESOS '!$F$9:$F$561)</f>
        <v>432070</v>
      </c>
      <c r="E40" s="62">
        <f t="shared" ca="1" si="0"/>
        <v>3.7394862380207612</v>
      </c>
      <c r="F40" s="250"/>
      <c r="J40" s="58"/>
    </row>
    <row r="41" spans="3:10" s="3" customFormat="1" x14ac:dyDescent="0.25">
      <c r="C41" s="5" t="s">
        <v>138</v>
      </c>
      <c r="D41" s="116">
        <f ca="1">+SUMIF('EGRESOS '!$D$9:$F$561,'RESUMEN MES'!C41,'EGRESOS '!$F$9:$F$561)</f>
        <v>0</v>
      </c>
      <c r="E41" s="62">
        <f t="shared" ca="1" si="0"/>
        <v>0</v>
      </c>
      <c r="J41" s="58"/>
    </row>
    <row r="42" spans="3:10" s="3" customFormat="1" x14ac:dyDescent="0.25">
      <c r="C42" s="5" t="s">
        <v>23</v>
      </c>
      <c r="D42" s="116">
        <f ca="1">+SUMIF('EGRESOS '!$D$9:$F$561,'RESUMEN MES'!C42,'EGRESOS '!$F$9:$F$561)</f>
        <v>149430</v>
      </c>
      <c r="E42" s="62">
        <f t="shared" ca="1" si="0"/>
        <v>1.2932891164566906</v>
      </c>
      <c r="G42" s="58"/>
      <c r="H42" s="58"/>
      <c r="J42" s="58"/>
    </row>
    <row r="43" spans="3:10" s="3" customFormat="1" x14ac:dyDescent="0.25">
      <c r="C43" s="5" t="s">
        <v>121</v>
      </c>
      <c r="D43" s="116">
        <f ca="1">+SUMIF('EGRESOS '!$D$9:$F$561,'RESUMEN MES'!C43,'EGRESOS '!$F$9:$F$561)</f>
        <v>0</v>
      </c>
      <c r="E43" s="62">
        <f t="shared" ca="1" si="0"/>
        <v>0</v>
      </c>
      <c r="H43" s="58"/>
      <c r="J43" s="58"/>
    </row>
    <row r="44" spans="3:10" x14ac:dyDescent="0.25">
      <c r="C44" s="5" t="s">
        <v>20</v>
      </c>
      <c r="D44" s="116">
        <f ca="1">+SUMIF('EGRESOS '!$D$9:$F$561,'RESUMEN MES'!C44,'EGRESOS '!$F$9:$F$561)</f>
        <v>173874</v>
      </c>
      <c r="E44" s="62">
        <f t="shared" ca="1" si="0"/>
        <v>1.504847432475344</v>
      </c>
      <c r="G44" s="3" t="s">
        <v>164</v>
      </c>
    </row>
    <row r="45" spans="3:10" x14ac:dyDescent="0.25">
      <c r="C45" s="5" t="s">
        <v>139</v>
      </c>
      <c r="D45" s="116">
        <f ca="1">+SUMIF('EGRESOS '!$D$9:$F$561,'RESUMEN MES'!C45,'EGRESOS '!$F$9:$F$561)</f>
        <v>60000</v>
      </c>
      <c r="E45" s="62">
        <f t="shared" ca="1" si="0"/>
        <v>0.5192889445720501</v>
      </c>
    </row>
    <row r="46" spans="3:10" x14ac:dyDescent="0.25">
      <c r="C46" s="5" t="s">
        <v>39</v>
      </c>
      <c r="D46" s="116">
        <f ca="1">+SUMIF('EGRESOS '!$D$9:$F$561,'RESUMEN MES'!C46,'EGRESOS '!$F$9:$F$561)</f>
        <v>0</v>
      </c>
      <c r="E46" s="62">
        <f t="shared" ca="1" si="0"/>
        <v>0</v>
      </c>
    </row>
    <row r="47" spans="3:10" x14ac:dyDescent="0.25">
      <c r="C47" s="5" t="s">
        <v>119</v>
      </c>
      <c r="D47" s="116">
        <f ca="1">+SUMIF('EGRESOS '!$D$9:$F$561,'RESUMEN MES'!C47,'EGRESOS '!$F$9:$F$561)</f>
        <v>441687</v>
      </c>
      <c r="E47" s="62">
        <f t="shared" ca="1" si="0"/>
        <v>3.822719601019918</v>
      </c>
    </row>
  </sheetData>
  <sheetProtection algorithmName="SHA-512" hashValue="FxOUvulidmgNEwV42Zwt7PLisBV6p9FfNuoanWLgVmocGtQUNPM25uUGDPiXHsgxVMUAnkMS39CW4TwehdbxhA==" saltValue="1d9nqRf6jku5WBEvxT6YOQ==" spinCount="100000" sheet="1"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13"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35" t="s">
        <v>0</v>
      </c>
      <c r="D2" s="236"/>
      <c r="E2" s="236"/>
      <c r="F2" s="237"/>
      <c r="R2" s="103">
        <v>100000</v>
      </c>
    </row>
    <row r="3" spans="1:31" ht="18.75" x14ac:dyDescent="0.3">
      <c r="C3" s="235" t="s">
        <v>48</v>
      </c>
      <c r="D3" s="236"/>
      <c r="E3" s="236"/>
      <c r="F3" s="237"/>
      <c r="R3" s="103">
        <v>300000</v>
      </c>
    </row>
    <row r="4" spans="1:31" ht="18.75" x14ac:dyDescent="0.3">
      <c r="C4" s="235" t="s">
        <v>74</v>
      </c>
      <c r="D4" s="236"/>
      <c r="E4" s="236"/>
      <c r="F4" s="237"/>
      <c r="R4" s="103">
        <v>400000</v>
      </c>
    </row>
    <row r="5" spans="1:31" ht="18.75" x14ac:dyDescent="0.3">
      <c r="C5" s="235"/>
      <c r="D5" s="236"/>
      <c r="E5" s="236"/>
      <c r="F5" s="237"/>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1162000</v>
      </c>
      <c r="E8" s="62">
        <f>+VENTAS!G12</f>
        <v>587192</v>
      </c>
      <c r="F8" s="62">
        <f>+D8-E8</f>
        <v>574808</v>
      </c>
      <c r="R8" s="103">
        <v>800000</v>
      </c>
    </row>
    <row r="9" spans="1:31" x14ac:dyDescent="0.25">
      <c r="C9" s="61">
        <v>2</v>
      </c>
      <c r="D9" s="62">
        <f>+VENTAS!E15</f>
        <v>1805000</v>
      </c>
      <c r="E9" s="62">
        <f>+VENTAS!G15</f>
        <v>821990</v>
      </c>
      <c r="F9" s="62">
        <f>+F8+D9-E9</f>
        <v>1557818</v>
      </c>
      <c r="R9" s="103">
        <v>900000</v>
      </c>
    </row>
    <row r="10" spans="1:31" x14ac:dyDescent="0.25">
      <c r="C10" s="61">
        <v>3</v>
      </c>
      <c r="D10" s="62">
        <f>+VENTAS!E18</f>
        <v>1077000</v>
      </c>
      <c r="E10" s="62">
        <f>+VENTAS!G18</f>
        <v>670470</v>
      </c>
      <c r="F10" s="62">
        <f>+F9+D10-E10</f>
        <v>1964348</v>
      </c>
      <c r="R10" s="103">
        <v>1000000</v>
      </c>
    </row>
    <row r="11" spans="1:31" x14ac:dyDescent="0.25">
      <c r="C11" s="61">
        <v>4</v>
      </c>
      <c r="D11" s="62">
        <f>+VENTAS!E21</f>
        <v>648000</v>
      </c>
      <c r="E11" s="62">
        <f>+VENTAS!G21</f>
        <v>3359657</v>
      </c>
      <c r="F11" s="62">
        <f t="shared" ref="F11:F37" si="0">+F10+D11-E11</f>
        <v>-747309</v>
      </c>
      <c r="R11" s="103">
        <v>1100000</v>
      </c>
    </row>
    <row r="12" spans="1:31" x14ac:dyDescent="0.25">
      <c r="C12" s="61">
        <v>5</v>
      </c>
      <c r="D12" s="62">
        <f>+VENTAS!E24</f>
        <v>422000</v>
      </c>
      <c r="E12" s="62">
        <f>+VENTAS!G24</f>
        <v>453453</v>
      </c>
      <c r="F12" s="62">
        <f t="shared" si="0"/>
        <v>-778762</v>
      </c>
      <c r="R12" s="103">
        <v>1200000</v>
      </c>
    </row>
    <row r="13" spans="1:31" x14ac:dyDescent="0.25">
      <c r="C13" s="61">
        <v>6</v>
      </c>
      <c r="D13" s="62">
        <f>+VENTAS!E27</f>
        <v>611000</v>
      </c>
      <c r="E13" s="62">
        <f>+VENTAS!G27</f>
        <v>385678</v>
      </c>
      <c r="F13" s="62">
        <f t="shared" si="0"/>
        <v>-553440</v>
      </c>
      <c r="R13" s="103">
        <v>1300000</v>
      </c>
    </row>
    <row r="14" spans="1:31" x14ac:dyDescent="0.25">
      <c r="C14" s="61">
        <v>7</v>
      </c>
      <c r="D14" s="62">
        <f>+VENTAS!E30</f>
        <v>660500</v>
      </c>
      <c r="E14" s="62">
        <f>+VENTAS!G30</f>
        <v>264151</v>
      </c>
      <c r="F14" s="62">
        <f t="shared" si="0"/>
        <v>-157091</v>
      </c>
      <c r="R14" s="103">
        <v>1400000</v>
      </c>
    </row>
    <row r="15" spans="1:31" x14ac:dyDescent="0.25">
      <c r="C15" s="61">
        <v>8</v>
      </c>
      <c r="D15" s="62">
        <f>+VENTAS!E33</f>
        <v>1053000</v>
      </c>
      <c r="E15" s="62">
        <f>+VENTAS!G33</f>
        <v>673560</v>
      </c>
      <c r="F15" s="62">
        <f t="shared" si="0"/>
        <v>222349</v>
      </c>
      <c r="R15" s="104">
        <v>1500000</v>
      </c>
    </row>
    <row r="16" spans="1:31" x14ac:dyDescent="0.25">
      <c r="C16" s="61">
        <v>9</v>
      </c>
      <c r="D16" s="62">
        <f>+VENTAS!E36</f>
        <v>979000</v>
      </c>
      <c r="E16" s="62">
        <f>+VENTAS!G36</f>
        <v>432180</v>
      </c>
      <c r="F16" s="62">
        <f t="shared" si="0"/>
        <v>769169</v>
      </c>
      <c r="R16" s="105">
        <v>0</v>
      </c>
    </row>
    <row r="17" spans="3:6" x14ac:dyDescent="0.25">
      <c r="C17" s="61">
        <v>10</v>
      </c>
      <c r="D17" s="62">
        <f>+VENTAS!E39</f>
        <v>815000</v>
      </c>
      <c r="E17" s="62">
        <f>+VENTAS!G39</f>
        <v>602870</v>
      </c>
      <c r="F17" s="62">
        <f t="shared" si="0"/>
        <v>981299</v>
      </c>
    </row>
    <row r="18" spans="3:6" x14ac:dyDescent="0.25">
      <c r="C18" s="61">
        <v>11</v>
      </c>
      <c r="D18" s="62">
        <f>+VENTAS!E42</f>
        <v>793500</v>
      </c>
      <c r="E18" s="62">
        <f>+VENTAS!G42</f>
        <v>852713</v>
      </c>
      <c r="F18" s="62">
        <f t="shared" si="0"/>
        <v>922086</v>
      </c>
    </row>
    <row r="19" spans="3:6" x14ac:dyDescent="0.25">
      <c r="C19" s="61">
        <v>12</v>
      </c>
      <c r="D19" s="62">
        <f>+VENTAS!E45</f>
        <v>959500</v>
      </c>
      <c r="E19" s="62">
        <f>+VENTAS!G45</f>
        <v>511402</v>
      </c>
      <c r="F19" s="62">
        <f t="shared" si="0"/>
        <v>1370184</v>
      </c>
    </row>
    <row r="20" spans="3:6" x14ac:dyDescent="0.25">
      <c r="C20" s="61">
        <v>13</v>
      </c>
      <c r="D20" s="62">
        <f>+VENTAS!E48</f>
        <v>859400</v>
      </c>
      <c r="E20" s="62">
        <f>+VENTAS!G48</f>
        <v>310410</v>
      </c>
      <c r="F20" s="62">
        <f t="shared" si="0"/>
        <v>1919174</v>
      </c>
    </row>
    <row r="21" spans="3:6" x14ac:dyDescent="0.25">
      <c r="C21" s="61">
        <v>14</v>
      </c>
      <c r="D21" s="62">
        <f>+VENTAS!E51</f>
        <v>611000</v>
      </c>
      <c r="E21" s="62">
        <f>+VENTAS!G51</f>
        <v>876008</v>
      </c>
      <c r="F21" s="62">
        <f t="shared" si="0"/>
        <v>1654166</v>
      </c>
    </row>
    <row r="22" spans="3:6" x14ac:dyDescent="0.25">
      <c r="C22" s="61">
        <v>15</v>
      </c>
      <c r="D22" s="62">
        <f>+VENTAS!E54</f>
        <v>970000</v>
      </c>
      <c r="E22" s="62">
        <f>+VENTAS!G54</f>
        <v>430327</v>
      </c>
      <c r="F22" s="62">
        <f t="shared" si="0"/>
        <v>2193839</v>
      </c>
    </row>
    <row r="23" spans="3:6" x14ac:dyDescent="0.25">
      <c r="C23" s="61">
        <v>16</v>
      </c>
      <c r="D23" s="62">
        <f>+VENTAS!E57</f>
        <v>1212000</v>
      </c>
      <c r="E23" s="62">
        <f>+VENTAS!G57</f>
        <v>486545</v>
      </c>
      <c r="F23" s="62">
        <f t="shared" si="0"/>
        <v>2919294</v>
      </c>
    </row>
    <row r="24" spans="3:6" x14ac:dyDescent="0.25">
      <c r="C24" s="61">
        <v>17</v>
      </c>
      <c r="D24" s="62">
        <f>+VENTAS!E60</f>
        <v>1067000</v>
      </c>
      <c r="E24" s="62">
        <f>+VENTAS!G60</f>
        <v>748651</v>
      </c>
      <c r="F24" s="62">
        <f t="shared" si="0"/>
        <v>3237643</v>
      </c>
    </row>
    <row r="25" spans="3:6" x14ac:dyDescent="0.25">
      <c r="C25" s="61">
        <v>18</v>
      </c>
      <c r="D25" s="62">
        <f>+VENTAS!E63</f>
        <v>889000</v>
      </c>
      <c r="E25" s="62">
        <f>+VENTAS!G63</f>
        <v>603711</v>
      </c>
      <c r="F25" s="62">
        <f t="shared" si="0"/>
        <v>3522932</v>
      </c>
    </row>
    <row r="26" spans="3:6" x14ac:dyDescent="0.25">
      <c r="C26" s="61">
        <v>19</v>
      </c>
      <c r="D26" s="62">
        <f>+VENTAS!E66</f>
        <v>431500</v>
      </c>
      <c r="E26" s="62">
        <f>+VENTAS!G66</f>
        <v>340613</v>
      </c>
      <c r="F26" s="62">
        <f t="shared" si="0"/>
        <v>3613819</v>
      </c>
    </row>
    <row r="27" spans="3:6" x14ac:dyDescent="0.25">
      <c r="C27" s="61">
        <v>20</v>
      </c>
      <c r="D27" s="62">
        <f>+VENTAS!E69</f>
        <v>953500</v>
      </c>
      <c r="E27" s="62">
        <f>+VENTAS!G69</f>
        <v>629130</v>
      </c>
      <c r="F27" s="62">
        <f t="shared" si="0"/>
        <v>3938189</v>
      </c>
    </row>
    <row r="28" spans="3:6" x14ac:dyDescent="0.25">
      <c r="C28" s="61">
        <v>21</v>
      </c>
      <c r="D28" s="62">
        <f>+VENTAS!E72</f>
        <v>941200</v>
      </c>
      <c r="E28" s="62">
        <f>+VENTAS!G72</f>
        <v>569782</v>
      </c>
      <c r="F28" s="62">
        <f t="shared" si="0"/>
        <v>4309607</v>
      </c>
    </row>
    <row r="29" spans="3:6" x14ac:dyDescent="0.25">
      <c r="C29" s="61">
        <v>22</v>
      </c>
      <c r="D29" s="62">
        <f>+VENTAS!E75</f>
        <v>880000</v>
      </c>
      <c r="E29" s="62">
        <f>+VENTAS!G75</f>
        <v>612317</v>
      </c>
      <c r="F29" s="62">
        <f t="shared" si="0"/>
        <v>4577290</v>
      </c>
    </row>
    <row r="30" spans="3:6" x14ac:dyDescent="0.25">
      <c r="C30" s="61">
        <v>23</v>
      </c>
      <c r="D30" s="62">
        <f>+VENTAS!E78</f>
        <v>1139700</v>
      </c>
      <c r="E30" s="62">
        <f>+VENTAS!G78</f>
        <v>349926</v>
      </c>
      <c r="F30" s="62">
        <f t="shared" si="0"/>
        <v>5367064</v>
      </c>
    </row>
    <row r="31" spans="3:6" x14ac:dyDescent="0.25">
      <c r="C31" s="61">
        <v>24</v>
      </c>
      <c r="D31" s="62">
        <f>+VENTAS!E81</f>
        <v>971000</v>
      </c>
      <c r="E31" s="62">
        <f>+VENTAS!G81</f>
        <v>701988</v>
      </c>
      <c r="F31" s="62">
        <f t="shared" si="0"/>
        <v>5636076</v>
      </c>
    </row>
    <row r="32" spans="3:6" x14ac:dyDescent="0.25">
      <c r="C32" s="61">
        <v>25</v>
      </c>
      <c r="D32" s="62">
        <f>+VENTAS!E84</f>
        <v>851000</v>
      </c>
      <c r="E32" s="62">
        <f>+VENTAS!G84</f>
        <v>592867</v>
      </c>
      <c r="F32" s="62">
        <f t="shared" si="0"/>
        <v>5894209</v>
      </c>
    </row>
    <row r="33" spans="1:31" x14ac:dyDescent="0.25">
      <c r="C33" s="61">
        <v>26</v>
      </c>
      <c r="D33" s="62">
        <f>+VENTAS!E87</f>
        <v>762500</v>
      </c>
      <c r="E33" s="62">
        <f>+VENTAS!G87</f>
        <v>480775</v>
      </c>
      <c r="F33" s="62">
        <f t="shared" si="0"/>
        <v>6175934</v>
      </c>
    </row>
    <row r="34" spans="1:31" x14ac:dyDescent="0.25">
      <c r="C34" s="61">
        <v>27</v>
      </c>
      <c r="D34" s="62">
        <f>+VENTAS!E90</f>
        <v>1088000</v>
      </c>
      <c r="E34" s="62">
        <f>+VENTAS!G90</f>
        <v>703737</v>
      </c>
      <c r="F34" s="62">
        <f t="shared" si="0"/>
        <v>6560197</v>
      </c>
    </row>
    <row r="35" spans="1:31" x14ac:dyDescent="0.25">
      <c r="C35" s="61">
        <v>28</v>
      </c>
      <c r="D35" s="62">
        <f>+VENTAS!E93</f>
        <v>1249000</v>
      </c>
      <c r="E35" s="62">
        <f>+VENTAS!G93</f>
        <v>891326</v>
      </c>
      <c r="F35" s="62">
        <f t="shared" si="0"/>
        <v>6917871</v>
      </c>
    </row>
    <row r="36" spans="1:31" x14ac:dyDescent="0.25">
      <c r="C36" s="61">
        <v>29</v>
      </c>
      <c r="D36" s="62">
        <f>+VENTAS!E96</f>
        <v>904500</v>
      </c>
      <c r="E36" s="62">
        <f>+VENTAS!G96</f>
        <v>616829</v>
      </c>
      <c r="F36" s="62">
        <f t="shared" si="0"/>
        <v>7205542</v>
      </c>
    </row>
    <row r="37" spans="1:31" x14ac:dyDescent="0.25">
      <c r="C37" s="61">
        <v>30</v>
      </c>
      <c r="D37" s="62">
        <f>+VENTAS!E99</f>
        <v>932500</v>
      </c>
      <c r="E37" s="62">
        <f>+VENTAS!G99</f>
        <v>320900</v>
      </c>
      <c r="F37" s="62">
        <f t="shared" si="0"/>
        <v>7817142</v>
      </c>
    </row>
    <row r="38" spans="1:31" x14ac:dyDescent="0.25">
      <c r="C38" s="61">
        <v>31</v>
      </c>
      <c r="D38" s="62">
        <f>+VENTAS!E102</f>
        <v>0</v>
      </c>
      <c r="E38" s="62">
        <f>+VENTAS!G102</f>
        <v>0</v>
      </c>
      <c r="F38" s="62">
        <f>+F37+D38-E38</f>
        <v>7817142</v>
      </c>
    </row>
    <row r="39" spans="1:31" s="59" customFormat="1" x14ac:dyDescent="0.25">
      <c r="A39" s="58"/>
      <c r="B39" s="58"/>
      <c r="C39" s="25" t="s">
        <v>58</v>
      </c>
      <c r="D39" s="79">
        <f>SUM(D8:D38)</f>
        <v>27698300</v>
      </c>
      <c r="E39" s="79">
        <f>SUM(E8:E38)</f>
        <v>19881158</v>
      </c>
      <c r="F39" s="79">
        <f>+F37+D38-E38</f>
        <v>7817142</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19" zoomScaleNormal="100" workbookViewId="0">
      <selection activeCell="B329" sqref="B329"/>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7">
        <v>1</v>
      </c>
      <c r="B3" s="121"/>
      <c r="C3" s="122"/>
      <c r="D3" s="70"/>
      <c r="H3" s="119" t="s">
        <v>152</v>
      </c>
    </row>
    <row r="4" spans="1:8" x14ac:dyDescent="0.25">
      <c r="A4" s="257"/>
      <c r="B4" s="121"/>
      <c r="C4" s="122"/>
      <c r="D4" s="70"/>
      <c r="H4" s="119" t="s">
        <v>153</v>
      </c>
    </row>
    <row r="5" spans="1:8" x14ac:dyDescent="0.25">
      <c r="A5" s="257"/>
      <c r="B5" s="121"/>
      <c r="C5" s="122"/>
      <c r="D5" s="70"/>
      <c r="H5" s="119" t="s">
        <v>57</v>
      </c>
    </row>
    <row r="6" spans="1:8" x14ac:dyDescent="0.25">
      <c r="A6" s="257"/>
      <c r="B6" s="121"/>
      <c r="C6" s="122"/>
      <c r="D6" s="70"/>
    </row>
    <row r="7" spans="1:8" x14ac:dyDescent="0.25">
      <c r="A7" s="257"/>
      <c r="B7" s="121"/>
      <c r="C7" s="122"/>
      <c r="D7" s="70"/>
    </row>
    <row r="8" spans="1:8" x14ac:dyDescent="0.25">
      <c r="A8" s="257"/>
      <c r="B8" s="121"/>
      <c r="C8" s="122"/>
      <c r="D8" s="70"/>
    </row>
    <row r="9" spans="1:8" x14ac:dyDescent="0.25">
      <c r="A9" s="257"/>
      <c r="B9" s="121"/>
      <c r="C9" s="122"/>
      <c r="D9" s="70"/>
    </row>
    <row r="10" spans="1:8" x14ac:dyDescent="0.25">
      <c r="A10" s="257"/>
      <c r="B10" s="121"/>
      <c r="C10" s="122"/>
      <c r="D10" s="70"/>
    </row>
    <row r="11" spans="1:8" x14ac:dyDescent="0.25">
      <c r="A11" s="257"/>
      <c r="B11" s="121"/>
      <c r="C11" s="122"/>
      <c r="D11" s="70"/>
    </row>
    <row r="12" spans="1:8" x14ac:dyDescent="0.25">
      <c r="A12" s="257"/>
      <c r="B12" s="121"/>
      <c r="C12" s="122"/>
      <c r="D12" s="70"/>
    </row>
    <row r="13" spans="1:8" x14ac:dyDescent="0.25">
      <c r="A13" s="257"/>
      <c r="B13" s="121"/>
      <c r="C13" s="122"/>
      <c r="D13" s="70"/>
    </row>
    <row r="14" spans="1:8" x14ac:dyDescent="0.25">
      <c r="A14" s="124" t="s">
        <v>58</v>
      </c>
      <c r="B14" s="123"/>
      <c r="C14" s="123"/>
      <c r="D14" s="70">
        <f>SUM(D3:D13)</f>
        <v>0</v>
      </c>
      <c r="E14" s="118"/>
    </row>
    <row r="15" spans="1:8" x14ac:dyDescent="0.25">
      <c r="A15" s="120" t="s">
        <v>3</v>
      </c>
      <c r="B15" s="120" t="s">
        <v>150</v>
      </c>
      <c r="C15" s="120" t="s">
        <v>151</v>
      </c>
      <c r="D15" s="120" t="s">
        <v>165</v>
      </c>
    </row>
    <row r="16" spans="1:8" x14ac:dyDescent="0.25">
      <c r="A16" s="257">
        <v>2</v>
      </c>
      <c r="B16" s="121"/>
      <c r="C16" s="122"/>
      <c r="D16" s="70"/>
    </row>
    <row r="17" spans="1:4" x14ac:dyDescent="0.25">
      <c r="A17" s="257"/>
      <c r="B17" s="121"/>
      <c r="C17" s="122"/>
      <c r="D17" s="70"/>
    </row>
    <row r="18" spans="1:4" x14ac:dyDescent="0.25">
      <c r="A18" s="257"/>
      <c r="B18" s="121"/>
      <c r="C18" s="122"/>
      <c r="D18" s="70"/>
    </row>
    <row r="19" spans="1:4" x14ac:dyDescent="0.25">
      <c r="A19" s="257"/>
      <c r="B19" s="121"/>
      <c r="C19" s="122"/>
      <c r="D19" s="70"/>
    </row>
    <row r="20" spans="1:4" x14ac:dyDescent="0.25">
      <c r="A20" s="257"/>
      <c r="B20" s="121"/>
      <c r="C20" s="122"/>
      <c r="D20" s="70"/>
    </row>
    <row r="21" spans="1:4" x14ac:dyDescent="0.25">
      <c r="A21" s="257"/>
      <c r="B21" s="121"/>
      <c r="C21" s="122"/>
      <c r="D21" s="70"/>
    </row>
    <row r="22" spans="1:4" x14ac:dyDescent="0.25">
      <c r="A22" s="257"/>
      <c r="B22" s="121"/>
      <c r="C22" s="122"/>
      <c r="D22" s="70"/>
    </row>
    <row r="23" spans="1:4" x14ac:dyDescent="0.25">
      <c r="A23" s="257"/>
      <c r="B23" s="121"/>
      <c r="C23" s="122"/>
      <c r="D23" s="70"/>
    </row>
    <row r="24" spans="1:4" x14ac:dyDescent="0.25">
      <c r="A24" s="257"/>
      <c r="B24" s="121"/>
      <c r="C24" s="122"/>
      <c r="D24" s="70"/>
    </row>
    <row r="25" spans="1:4" x14ac:dyDescent="0.25">
      <c r="A25" s="257"/>
      <c r="B25" s="121"/>
      <c r="C25" s="122"/>
      <c r="D25" s="70"/>
    </row>
    <row r="26" spans="1:4" x14ac:dyDescent="0.25">
      <c r="A26" s="257"/>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57">
        <v>3</v>
      </c>
      <c r="B29" s="121"/>
      <c r="C29" s="122"/>
      <c r="D29" s="70"/>
    </row>
    <row r="30" spans="1:4" x14ac:dyDescent="0.25">
      <c r="A30" s="257"/>
      <c r="B30" s="121"/>
      <c r="C30" s="122"/>
      <c r="D30" s="70"/>
    </row>
    <row r="31" spans="1:4" x14ac:dyDescent="0.25">
      <c r="A31" s="257"/>
      <c r="B31" s="121"/>
      <c r="C31" s="122"/>
      <c r="D31" s="70"/>
    </row>
    <row r="32" spans="1:4" x14ac:dyDescent="0.25">
      <c r="A32" s="257"/>
      <c r="B32" s="121"/>
      <c r="C32" s="122"/>
      <c r="D32" s="70"/>
    </row>
    <row r="33" spans="1:4" x14ac:dyDescent="0.25">
      <c r="A33" s="257"/>
      <c r="B33" s="121"/>
      <c r="C33" s="122"/>
      <c r="D33" s="70"/>
    </row>
    <row r="34" spans="1:4" x14ac:dyDescent="0.25">
      <c r="A34" s="257"/>
      <c r="B34" s="121"/>
      <c r="C34" s="122"/>
      <c r="D34" s="70"/>
    </row>
    <row r="35" spans="1:4" x14ac:dyDescent="0.25">
      <c r="A35" s="257"/>
      <c r="B35" s="121"/>
      <c r="C35" s="122"/>
      <c r="D35" s="70"/>
    </row>
    <row r="36" spans="1:4" x14ac:dyDescent="0.25">
      <c r="A36" s="257"/>
      <c r="B36" s="121"/>
      <c r="C36" s="122"/>
      <c r="D36" s="70"/>
    </row>
    <row r="37" spans="1:4" x14ac:dyDescent="0.25">
      <c r="A37" s="257"/>
      <c r="B37" s="121"/>
      <c r="C37" s="122"/>
      <c r="D37" s="70"/>
    </row>
    <row r="38" spans="1:4" x14ac:dyDescent="0.25">
      <c r="A38" s="257"/>
      <c r="B38" s="121"/>
      <c r="C38" s="122"/>
      <c r="D38" s="70"/>
    </row>
    <row r="39" spans="1:4" x14ac:dyDescent="0.25">
      <c r="A39" s="257"/>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57">
        <v>4</v>
      </c>
      <c r="B42" s="121"/>
      <c r="C42" s="122"/>
      <c r="D42" s="70"/>
    </row>
    <row r="43" spans="1:4" x14ac:dyDescent="0.25">
      <c r="A43" s="257"/>
      <c r="B43" s="121"/>
      <c r="C43" s="122"/>
      <c r="D43" s="70"/>
    </row>
    <row r="44" spans="1:4" x14ac:dyDescent="0.25">
      <c r="A44" s="257"/>
      <c r="B44" s="121"/>
      <c r="C44" s="122"/>
      <c r="D44" s="70"/>
    </row>
    <row r="45" spans="1:4" x14ac:dyDescent="0.25">
      <c r="A45" s="257"/>
      <c r="B45" s="121"/>
      <c r="C45" s="122"/>
      <c r="D45" s="70"/>
    </row>
    <row r="46" spans="1:4" x14ac:dyDescent="0.25">
      <c r="A46" s="257"/>
      <c r="B46" s="121"/>
      <c r="C46" s="122"/>
      <c r="D46" s="70"/>
    </row>
    <row r="47" spans="1:4" x14ac:dyDescent="0.25">
      <c r="A47" s="257"/>
      <c r="B47" s="121"/>
      <c r="C47" s="122"/>
      <c r="D47" s="70"/>
    </row>
    <row r="48" spans="1:4" x14ac:dyDescent="0.25">
      <c r="A48" s="257"/>
      <c r="B48" s="121"/>
      <c r="C48" s="122"/>
      <c r="D48" s="70"/>
    </row>
    <row r="49" spans="1:4" x14ac:dyDescent="0.25">
      <c r="A49" s="257"/>
      <c r="B49" s="121"/>
      <c r="C49" s="122"/>
      <c r="D49" s="70"/>
    </row>
    <row r="50" spans="1:4" x14ac:dyDescent="0.25">
      <c r="A50" s="257"/>
      <c r="B50" s="121"/>
      <c r="C50" s="122"/>
      <c r="D50" s="70"/>
    </row>
    <row r="51" spans="1:4" x14ac:dyDescent="0.25">
      <c r="A51" s="257"/>
      <c r="B51" s="121"/>
      <c r="C51" s="122"/>
      <c r="D51" s="70"/>
    </row>
    <row r="52" spans="1:4" x14ac:dyDescent="0.25">
      <c r="A52" s="257"/>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57">
        <v>5</v>
      </c>
      <c r="B55" s="121"/>
      <c r="C55" s="122"/>
      <c r="D55" s="70"/>
    </row>
    <row r="56" spans="1:4" x14ac:dyDescent="0.25">
      <c r="A56" s="257"/>
      <c r="B56" s="121"/>
      <c r="C56" s="122"/>
      <c r="D56" s="70"/>
    </row>
    <row r="57" spans="1:4" x14ac:dyDescent="0.25">
      <c r="A57" s="257"/>
      <c r="B57" s="121"/>
      <c r="C57" s="122"/>
      <c r="D57" s="70"/>
    </row>
    <row r="58" spans="1:4" x14ac:dyDescent="0.25">
      <c r="A58" s="257"/>
      <c r="B58" s="121"/>
      <c r="C58" s="122"/>
      <c r="D58" s="70"/>
    </row>
    <row r="59" spans="1:4" x14ac:dyDescent="0.25">
      <c r="A59" s="257"/>
      <c r="B59" s="121"/>
      <c r="C59" s="122"/>
      <c r="D59" s="70"/>
    </row>
    <row r="60" spans="1:4" x14ac:dyDescent="0.25">
      <c r="A60" s="257"/>
      <c r="B60" s="121"/>
      <c r="C60" s="122"/>
      <c r="D60" s="70"/>
    </row>
    <row r="61" spans="1:4" x14ac:dyDescent="0.25">
      <c r="A61" s="257"/>
      <c r="B61" s="121"/>
      <c r="C61" s="122"/>
      <c r="D61" s="70"/>
    </row>
    <row r="62" spans="1:4" x14ac:dyDescent="0.25">
      <c r="A62" s="257"/>
      <c r="B62" s="121"/>
      <c r="C62" s="122"/>
      <c r="D62" s="70"/>
    </row>
    <row r="63" spans="1:4" x14ac:dyDescent="0.25">
      <c r="A63" s="257"/>
      <c r="B63" s="121"/>
      <c r="C63" s="122"/>
      <c r="D63" s="70"/>
    </row>
    <row r="64" spans="1:4" x14ac:dyDescent="0.25">
      <c r="A64" s="257"/>
      <c r="B64" s="121"/>
      <c r="C64" s="122"/>
      <c r="D64" s="70"/>
    </row>
    <row r="65" spans="1:4" x14ac:dyDescent="0.25">
      <c r="A65" s="257"/>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57">
        <v>6</v>
      </c>
      <c r="B68" s="121"/>
      <c r="C68" s="122"/>
      <c r="D68" s="70"/>
    </row>
    <row r="69" spans="1:4" x14ac:dyDescent="0.25">
      <c r="A69" s="257"/>
      <c r="B69" s="121"/>
      <c r="C69" s="122"/>
      <c r="D69" s="70"/>
    </row>
    <row r="70" spans="1:4" x14ac:dyDescent="0.25">
      <c r="A70" s="257"/>
      <c r="B70" s="121"/>
      <c r="C70" s="122"/>
      <c r="D70" s="70"/>
    </row>
    <row r="71" spans="1:4" x14ac:dyDescent="0.25">
      <c r="A71" s="257"/>
      <c r="B71" s="121"/>
      <c r="C71" s="122"/>
      <c r="D71" s="70"/>
    </row>
    <row r="72" spans="1:4" x14ac:dyDescent="0.25">
      <c r="A72" s="257"/>
      <c r="B72" s="121"/>
      <c r="C72" s="122"/>
      <c r="D72" s="70"/>
    </row>
    <row r="73" spans="1:4" x14ac:dyDescent="0.25">
      <c r="A73" s="257"/>
      <c r="B73" s="121"/>
      <c r="C73" s="122"/>
      <c r="D73" s="70"/>
    </row>
    <row r="74" spans="1:4" x14ac:dyDescent="0.25">
      <c r="A74" s="257"/>
      <c r="B74" s="121"/>
      <c r="C74" s="122"/>
      <c r="D74" s="70"/>
    </row>
    <row r="75" spans="1:4" x14ac:dyDescent="0.25">
      <c r="A75" s="257"/>
      <c r="B75" s="121"/>
      <c r="C75" s="122"/>
      <c r="D75" s="70"/>
    </row>
    <row r="76" spans="1:4" x14ac:dyDescent="0.25">
      <c r="A76" s="257"/>
      <c r="B76" s="121"/>
      <c r="C76" s="122"/>
      <c r="D76" s="70"/>
    </row>
    <row r="77" spans="1:4" x14ac:dyDescent="0.25">
      <c r="A77" s="257"/>
      <c r="B77" s="121"/>
      <c r="C77" s="122"/>
      <c r="D77" s="70"/>
    </row>
    <row r="78" spans="1:4" x14ac:dyDescent="0.25">
      <c r="A78" s="257"/>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7">
        <v>7</v>
      </c>
      <c r="B81" s="121"/>
      <c r="C81" s="122"/>
      <c r="D81" s="70"/>
    </row>
    <row r="82" spans="1:4" x14ac:dyDescent="0.25">
      <c r="A82" s="257"/>
      <c r="B82" s="121"/>
      <c r="C82" s="122"/>
      <c r="D82" s="70"/>
    </row>
    <row r="83" spans="1:4" x14ac:dyDescent="0.25">
      <c r="A83" s="257"/>
      <c r="B83" s="121"/>
      <c r="C83" s="122"/>
      <c r="D83" s="70"/>
    </row>
    <row r="84" spans="1:4" x14ac:dyDescent="0.25">
      <c r="A84" s="257"/>
      <c r="B84" s="121"/>
      <c r="C84" s="122"/>
      <c r="D84" s="70"/>
    </row>
    <row r="85" spans="1:4" x14ac:dyDescent="0.25">
      <c r="A85" s="257"/>
      <c r="B85" s="121"/>
      <c r="C85" s="122"/>
      <c r="D85" s="70"/>
    </row>
    <row r="86" spans="1:4" x14ac:dyDescent="0.25">
      <c r="A86" s="257"/>
      <c r="B86" s="121"/>
      <c r="C86" s="122"/>
      <c r="D86" s="70"/>
    </row>
    <row r="87" spans="1:4" x14ac:dyDescent="0.25">
      <c r="A87" s="257"/>
      <c r="B87" s="121"/>
      <c r="C87" s="122"/>
      <c r="D87" s="70"/>
    </row>
    <row r="88" spans="1:4" x14ac:dyDescent="0.25">
      <c r="A88" s="257"/>
      <c r="B88" s="121"/>
      <c r="C88" s="122"/>
      <c r="D88" s="70"/>
    </row>
    <row r="89" spans="1:4" x14ac:dyDescent="0.25">
      <c r="A89" s="257"/>
      <c r="B89" s="121"/>
      <c r="C89" s="122"/>
      <c r="D89" s="70"/>
    </row>
    <row r="90" spans="1:4" x14ac:dyDescent="0.25">
      <c r="A90" s="257"/>
      <c r="B90" s="121"/>
      <c r="C90" s="122"/>
      <c r="D90" s="70"/>
    </row>
    <row r="91" spans="1:4" x14ac:dyDescent="0.25">
      <c r="A91" s="257"/>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57">
        <v>8</v>
      </c>
      <c r="B94" s="121" t="s">
        <v>188</v>
      </c>
      <c r="C94" s="122" t="s">
        <v>56</v>
      </c>
      <c r="D94" s="70">
        <v>10000</v>
      </c>
    </row>
    <row r="95" spans="1:4" x14ac:dyDescent="0.25">
      <c r="A95" s="257"/>
      <c r="B95" s="121" t="s">
        <v>189</v>
      </c>
      <c r="C95" s="122" t="s">
        <v>56</v>
      </c>
      <c r="D95" s="70">
        <v>14000</v>
      </c>
    </row>
    <row r="96" spans="1:4" x14ac:dyDescent="0.25">
      <c r="A96" s="257"/>
      <c r="B96" s="121"/>
      <c r="C96" s="122"/>
      <c r="D96" s="70"/>
    </row>
    <row r="97" spans="1:4" x14ac:dyDescent="0.25">
      <c r="A97" s="257"/>
      <c r="B97" s="121"/>
      <c r="C97" s="122"/>
      <c r="D97" s="70"/>
    </row>
    <row r="98" spans="1:4" x14ac:dyDescent="0.25">
      <c r="A98" s="257"/>
      <c r="B98" s="121"/>
      <c r="C98" s="122"/>
      <c r="D98" s="70"/>
    </row>
    <row r="99" spans="1:4" x14ac:dyDescent="0.25">
      <c r="A99" s="257"/>
      <c r="B99" s="121"/>
      <c r="C99" s="122"/>
      <c r="D99" s="70"/>
    </row>
    <row r="100" spans="1:4" x14ac:dyDescent="0.25">
      <c r="A100" s="257"/>
      <c r="B100" s="121"/>
      <c r="C100" s="122"/>
      <c r="D100" s="70"/>
    </row>
    <row r="101" spans="1:4" x14ac:dyDescent="0.25">
      <c r="A101" s="257"/>
      <c r="B101" s="121"/>
      <c r="C101" s="122"/>
      <c r="D101" s="70"/>
    </row>
    <row r="102" spans="1:4" x14ac:dyDescent="0.25">
      <c r="A102" s="257"/>
      <c r="B102" s="121"/>
      <c r="C102" s="122"/>
      <c r="D102" s="70"/>
    </row>
    <row r="103" spans="1:4" x14ac:dyDescent="0.25">
      <c r="A103" s="257"/>
      <c r="B103" s="121"/>
      <c r="C103" s="122"/>
      <c r="D103" s="70"/>
    </row>
    <row r="104" spans="1:4" x14ac:dyDescent="0.25">
      <c r="A104" s="257"/>
      <c r="B104" s="121"/>
      <c r="C104" s="122"/>
      <c r="D104" s="70"/>
    </row>
    <row r="105" spans="1:4" x14ac:dyDescent="0.25">
      <c r="A105" s="124" t="s">
        <v>58</v>
      </c>
      <c r="B105" s="123"/>
      <c r="C105" s="123"/>
      <c r="D105" s="70">
        <f>SUM(D94:D104)</f>
        <v>24000</v>
      </c>
    </row>
    <row r="106" spans="1:4" x14ac:dyDescent="0.25">
      <c r="A106" s="120" t="s">
        <v>3</v>
      </c>
      <c r="B106" s="120" t="s">
        <v>150</v>
      </c>
      <c r="C106" s="120" t="s">
        <v>151</v>
      </c>
      <c r="D106" s="120" t="s">
        <v>165</v>
      </c>
    </row>
    <row r="107" spans="1:4" x14ac:dyDescent="0.25">
      <c r="A107" s="257">
        <v>9</v>
      </c>
      <c r="B107" s="121" t="s">
        <v>190</v>
      </c>
      <c r="C107" s="122" t="s">
        <v>56</v>
      </c>
      <c r="D107" s="70">
        <v>28000</v>
      </c>
    </row>
    <row r="108" spans="1:4" x14ac:dyDescent="0.25">
      <c r="A108" s="257"/>
      <c r="B108" s="121"/>
      <c r="C108" s="122"/>
      <c r="D108" s="70"/>
    </row>
    <row r="109" spans="1:4" x14ac:dyDescent="0.25">
      <c r="A109" s="257"/>
      <c r="B109" s="121"/>
      <c r="C109" s="122"/>
      <c r="D109" s="70"/>
    </row>
    <row r="110" spans="1:4" x14ac:dyDescent="0.25">
      <c r="A110" s="257"/>
      <c r="B110" s="121"/>
      <c r="C110" s="122"/>
      <c r="D110" s="70"/>
    </row>
    <row r="111" spans="1:4" x14ac:dyDescent="0.25">
      <c r="A111" s="257"/>
      <c r="B111" s="121"/>
      <c r="C111" s="122"/>
      <c r="D111" s="70"/>
    </row>
    <row r="112" spans="1:4" x14ac:dyDescent="0.25">
      <c r="A112" s="257"/>
      <c r="B112" s="121"/>
      <c r="C112" s="122"/>
      <c r="D112" s="70"/>
    </row>
    <row r="113" spans="1:4" x14ac:dyDescent="0.25">
      <c r="A113" s="257"/>
      <c r="B113" s="121"/>
      <c r="C113" s="122"/>
      <c r="D113" s="70"/>
    </row>
    <row r="114" spans="1:4" x14ac:dyDescent="0.25">
      <c r="A114" s="257"/>
      <c r="B114" s="121"/>
      <c r="C114" s="122"/>
      <c r="D114" s="70"/>
    </row>
    <row r="115" spans="1:4" x14ac:dyDescent="0.25">
      <c r="A115" s="257"/>
      <c r="B115" s="121"/>
      <c r="C115" s="122"/>
      <c r="D115" s="70"/>
    </row>
    <row r="116" spans="1:4" x14ac:dyDescent="0.25">
      <c r="A116" s="257"/>
      <c r="B116" s="121"/>
      <c r="C116" s="122"/>
      <c r="D116" s="70"/>
    </row>
    <row r="117" spans="1:4" x14ac:dyDescent="0.25">
      <c r="A117" s="257"/>
      <c r="B117" s="121"/>
      <c r="C117" s="122"/>
      <c r="D117" s="70"/>
    </row>
    <row r="118" spans="1:4" x14ac:dyDescent="0.25">
      <c r="A118" s="124" t="s">
        <v>58</v>
      </c>
      <c r="B118" s="123"/>
      <c r="C118" s="123"/>
      <c r="D118" s="70">
        <f>SUM(D107:D117)</f>
        <v>28000</v>
      </c>
    </row>
    <row r="119" spans="1:4" x14ac:dyDescent="0.25">
      <c r="A119" s="125" t="s">
        <v>3</v>
      </c>
      <c r="B119" s="125" t="s">
        <v>150</v>
      </c>
      <c r="C119" s="125" t="s">
        <v>151</v>
      </c>
      <c r="D119" s="125" t="s">
        <v>165</v>
      </c>
    </row>
    <row r="120" spans="1:4" x14ac:dyDescent="0.25">
      <c r="A120" s="257">
        <v>10</v>
      </c>
      <c r="B120" s="121"/>
      <c r="C120" s="122"/>
      <c r="D120" s="70"/>
    </row>
    <row r="121" spans="1:4" x14ac:dyDescent="0.25">
      <c r="A121" s="257"/>
      <c r="B121" s="121"/>
      <c r="C121" s="122"/>
      <c r="D121" s="70"/>
    </row>
    <row r="122" spans="1:4" x14ac:dyDescent="0.25">
      <c r="A122" s="257"/>
      <c r="B122" s="121"/>
      <c r="C122" s="122"/>
      <c r="D122" s="70"/>
    </row>
    <row r="123" spans="1:4" x14ac:dyDescent="0.25">
      <c r="A123" s="257"/>
      <c r="B123" s="121"/>
      <c r="C123" s="122"/>
      <c r="D123" s="70"/>
    </row>
    <row r="124" spans="1:4" x14ac:dyDescent="0.25">
      <c r="A124" s="257"/>
      <c r="B124" s="121"/>
      <c r="C124" s="122"/>
      <c r="D124" s="70"/>
    </row>
    <row r="125" spans="1:4" x14ac:dyDescent="0.25">
      <c r="A125" s="257"/>
      <c r="B125" s="121"/>
      <c r="C125" s="122"/>
      <c r="D125" s="70"/>
    </row>
    <row r="126" spans="1:4" x14ac:dyDescent="0.25">
      <c r="A126" s="257"/>
      <c r="B126" s="121"/>
      <c r="C126" s="122"/>
      <c r="D126" s="70"/>
    </row>
    <row r="127" spans="1:4" x14ac:dyDescent="0.25">
      <c r="A127" s="257"/>
      <c r="B127" s="121"/>
      <c r="C127" s="122"/>
      <c r="D127" s="70"/>
    </row>
    <row r="128" spans="1:4" x14ac:dyDescent="0.25">
      <c r="A128" s="257"/>
      <c r="B128" s="121"/>
      <c r="C128" s="122"/>
      <c r="D128" s="70"/>
    </row>
    <row r="129" spans="1:4" x14ac:dyDescent="0.25">
      <c r="A129" s="257"/>
      <c r="B129" s="121"/>
      <c r="C129" s="122"/>
      <c r="D129" s="70"/>
    </row>
    <row r="130" spans="1:4" x14ac:dyDescent="0.25">
      <c r="A130" s="257"/>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57">
        <v>11</v>
      </c>
      <c r="B133" s="121"/>
      <c r="C133" s="122"/>
      <c r="D133" s="70"/>
    </row>
    <row r="134" spans="1:4" x14ac:dyDescent="0.25">
      <c r="A134" s="257"/>
      <c r="B134" s="121"/>
      <c r="C134" s="122"/>
      <c r="D134" s="70"/>
    </row>
    <row r="135" spans="1:4" x14ac:dyDescent="0.25">
      <c r="A135" s="257"/>
      <c r="B135" s="121"/>
      <c r="C135" s="122"/>
      <c r="D135" s="70"/>
    </row>
    <row r="136" spans="1:4" x14ac:dyDescent="0.25">
      <c r="A136" s="257"/>
      <c r="B136" s="121"/>
      <c r="C136" s="122"/>
      <c r="D136" s="70"/>
    </row>
    <row r="137" spans="1:4" x14ac:dyDescent="0.25">
      <c r="A137" s="257"/>
      <c r="B137" s="121"/>
      <c r="C137" s="122"/>
      <c r="D137" s="70"/>
    </row>
    <row r="138" spans="1:4" x14ac:dyDescent="0.25">
      <c r="A138" s="257"/>
      <c r="B138" s="121"/>
      <c r="C138" s="122"/>
      <c r="D138" s="70"/>
    </row>
    <row r="139" spans="1:4" x14ac:dyDescent="0.25">
      <c r="A139" s="257"/>
      <c r="B139" s="121"/>
      <c r="C139" s="122"/>
      <c r="D139" s="70"/>
    </row>
    <row r="140" spans="1:4" x14ac:dyDescent="0.25">
      <c r="A140" s="257"/>
      <c r="B140" s="121"/>
      <c r="C140" s="122"/>
      <c r="D140" s="70"/>
    </row>
    <row r="141" spans="1:4" x14ac:dyDescent="0.25">
      <c r="A141" s="257"/>
      <c r="B141" s="121"/>
      <c r="C141" s="122"/>
      <c r="D141" s="70"/>
    </row>
    <row r="142" spans="1:4" x14ac:dyDescent="0.25">
      <c r="A142" s="257"/>
      <c r="B142" s="121"/>
      <c r="C142" s="122"/>
      <c r="D142" s="70"/>
    </row>
    <row r="143" spans="1:4" x14ac:dyDescent="0.25">
      <c r="A143" s="257"/>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57">
        <v>12</v>
      </c>
      <c r="B146" s="121"/>
      <c r="C146" s="122"/>
      <c r="D146" s="70"/>
    </row>
    <row r="147" spans="1:4" x14ac:dyDescent="0.25">
      <c r="A147" s="257"/>
      <c r="B147" s="121"/>
      <c r="C147" s="122"/>
      <c r="D147" s="70"/>
    </row>
    <row r="148" spans="1:4" x14ac:dyDescent="0.25">
      <c r="A148" s="257"/>
      <c r="B148" s="121"/>
      <c r="C148" s="122"/>
      <c r="D148" s="70"/>
    </row>
    <row r="149" spans="1:4" x14ac:dyDescent="0.25">
      <c r="A149" s="257"/>
      <c r="B149" s="121"/>
      <c r="C149" s="122"/>
      <c r="D149" s="70"/>
    </row>
    <row r="150" spans="1:4" x14ac:dyDescent="0.25">
      <c r="A150" s="257"/>
      <c r="B150" s="121"/>
      <c r="C150" s="122"/>
      <c r="D150" s="70"/>
    </row>
    <row r="151" spans="1:4" x14ac:dyDescent="0.25">
      <c r="A151" s="257"/>
      <c r="B151" s="121"/>
      <c r="C151" s="122"/>
      <c r="D151" s="70"/>
    </row>
    <row r="152" spans="1:4" x14ac:dyDescent="0.25">
      <c r="A152" s="257"/>
      <c r="B152" s="121"/>
      <c r="C152" s="122"/>
      <c r="D152" s="70"/>
    </row>
    <row r="153" spans="1:4" x14ac:dyDescent="0.25">
      <c r="A153" s="257"/>
      <c r="B153" s="121"/>
      <c r="C153" s="122"/>
      <c r="D153" s="70"/>
    </row>
    <row r="154" spans="1:4" x14ac:dyDescent="0.25">
      <c r="A154" s="257"/>
      <c r="B154" s="121"/>
      <c r="C154" s="122"/>
      <c r="D154" s="70"/>
    </row>
    <row r="155" spans="1:4" x14ac:dyDescent="0.25">
      <c r="A155" s="257"/>
      <c r="B155" s="121"/>
      <c r="C155" s="122"/>
      <c r="D155" s="70"/>
    </row>
    <row r="156" spans="1:4" x14ac:dyDescent="0.25">
      <c r="A156" s="257"/>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57">
        <v>13</v>
      </c>
      <c r="B159" s="121"/>
      <c r="C159" s="122"/>
      <c r="D159" s="70"/>
    </row>
    <row r="160" spans="1:4" x14ac:dyDescent="0.25">
      <c r="A160" s="257"/>
      <c r="B160" s="121"/>
      <c r="C160" s="122"/>
      <c r="D160" s="70"/>
    </row>
    <row r="161" spans="1:4" x14ac:dyDescent="0.25">
      <c r="A161" s="257"/>
      <c r="B161" s="121"/>
      <c r="C161" s="122"/>
      <c r="D161" s="70"/>
    </row>
    <row r="162" spans="1:4" x14ac:dyDescent="0.25">
      <c r="A162" s="257"/>
      <c r="B162" s="121"/>
      <c r="C162" s="122"/>
      <c r="D162" s="70"/>
    </row>
    <row r="163" spans="1:4" x14ac:dyDescent="0.25">
      <c r="A163" s="257"/>
      <c r="B163" s="121"/>
      <c r="C163" s="122"/>
      <c r="D163" s="70"/>
    </row>
    <row r="164" spans="1:4" x14ac:dyDescent="0.25">
      <c r="A164" s="257"/>
      <c r="B164" s="121"/>
      <c r="C164" s="122"/>
      <c r="D164" s="70"/>
    </row>
    <row r="165" spans="1:4" x14ac:dyDescent="0.25">
      <c r="A165" s="257"/>
      <c r="B165" s="121"/>
      <c r="C165" s="122"/>
      <c r="D165" s="70"/>
    </row>
    <row r="166" spans="1:4" x14ac:dyDescent="0.25">
      <c r="A166" s="257"/>
      <c r="B166" s="121"/>
      <c r="C166" s="122"/>
      <c r="D166" s="70"/>
    </row>
    <row r="167" spans="1:4" x14ac:dyDescent="0.25">
      <c r="A167" s="257"/>
      <c r="B167" s="121"/>
      <c r="C167" s="122"/>
      <c r="D167" s="70"/>
    </row>
    <row r="168" spans="1:4" x14ac:dyDescent="0.25">
      <c r="A168" s="257"/>
      <c r="B168" s="121"/>
      <c r="C168" s="122"/>
      <c r="D168" s="70"/>
    </row>
    <row r="169" spans="1:4" x14ac:dyDescent="0.25">
      <c r="A169" s="257"/>
      <c r="B169" s="121"/>
      <c r="C169" s="122"/>
      <c r="D169" s="70"/>
    </row>
    <row r="170" spans="1:4" x14ac:dyDescent="0.25">
      <c r="A170" s="124" t="s">
        <v>58</v>
      </c>
      <c r="B170" s="123"/>
      <c r="C170" s="123"/>
      <c r="D170" s="70">
        <f>SUM(D159:D169)</f>
        <v>0</v>
      </c>
    </row>
    <row r="171" spans="1:4" x14ac:dyDescent="0.25">
      <c r="A171" s="125" t="s">
        <v>3</v>
      </c>
      <c r="B171" s="125" t="s">
        <v>150</v>
      </c>
      <c r="C171" s="125" t="s">
        <v>151</v>
      </c>
      <c r="D171" s="125" t="s">
        <v>165</v>
      </c>
    </row>
    <row r="172" spans="1:4" x14ac:dyDescent="0.25">
      <c r="A172" s="257">
        <v>14</v>
      </c>
      <c r="B172" s="121"/>
      <c r="C172" s="122"/>
      <c r="D172" s="70"/>
    </row>
    <row r="173" spans="1:4" x14ac:dyDescent="0.25">
      <c r="A173" s="257"/>
      <c r="B173" s="121"/>
      <c r="C173" s="122"/>
      <c r="D173" s="70"/>
    </row>
    <row r="174" spans="1:4" x14ac:dyDescent="0.25">
      <c r="A174" s="257"/>
      <c r="B174" s="121"/>
      <c r="C174" s="122"/>
      <c r="D174" s="70"/>
    </row>
    <row r="175" spans="1:4" x14ac:dyDescent="0.25">
      <c r="A175" s="257"/>
      <c r="B175" s="121"/>
      <c r="C175" s="122"/>
      <c r="D175" s="70"/>
    </row>
    <row r="176" spans="1:4" x14ac:dyDescent="0.25">
      <c r="A176" s="257"/>
      <c r="B176" s="121"/>
      <c r="C176" s="122"/>
      <c r="D176" s="70"/>
    </row>
    <row r="177" spans="1:4" x14ac:dyDescent="0.25">
      <c r="A177" s="257"/>
      <c r="B177" s="121"/>
      <c r="C177" s="122"/>
      <c r="D177" s="70"/>
    </row>
    <row r="178" spans="1:4" x14ac:dyDescent="0.25">
      <c r="A178" s="257"/>
      <c r="B178" s="121"/>
      <c r="C178" s="122"/>
      <c r="D178" s="70"/>
    </row>
    <row r="179" spans="1:4" x14ac:dyDescent="0.25">
      <c r="A179" s="257"/>
      <c r="B179" s="121"/>
      <c r="C179" s="122"/>
      <c r="D179" s="70"/>
    </row>
    <row r="180" spans="1:4" x14ac:dyDescent="0.25">
      <c r="A180" s="257"/>
      <c r="B180" s="121"/>
      <c r="C180" s="122"/>
      <c r="D180" s="70"/>
    </row>
    <row r="181" spans="1:4" x14ac:dyDescent="0.25">
      <c r="A181" s="257"/>
      <c r="B181" s="121"/>
      <c r="C181" s="122"/>
      <c r="D181" s="70"/>
    </row>
    <row r="182" spans="1:4" x14ac:dyDescent="0.25">
      <c r="A182" s="257"/>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57">
        <v>15</v>
      </c>
      <c r="B185" s="121"/>
      <c r="C185" s="122"/>
      <c r="D185" s="70"/>
    </row>
    <row r="186" spans="1:4" x14ac:dyDescent="0.25">
      <c r="A186" s="257"/>
      <c r="B186" s="121"/>
      <c r="C186" s="122"/>
      <c r="D186" s="70"/>
    </row>
    <row r="187" spans="1:4" x14ac:dyDescent="0.25">
      <c r="A187" s="257"/>
      <c r="B187" s="121"/>
      <c r="C187" s="122"/>
      <c r="D187" s="70"/>
    </row>
    <row r="188" spans="1:4" x14ac:dyDescent="0.25">
      <c r="A188" s="257"/>
      <c r="B188" s="121"/>
      <c r="C188" s="122"/>
      <c r="D188" s="70"/>
    </row>
    <row r="189" spans="1:4" x14ac:dyDescent="0.25">
      <c r="A189" s="257"/>
      <c r="B189" s="121"/>
      <c r="C189" s="122"/>
      <c r="D189" s="70"/>
    </row>
    <row r="190" spans="1:4" x14ac:dyDescent="0.25">
      <c r="A190" s="257"/>
      <c r="B190" s="121"/>
      <c r="C190" s="122"/>
      <c r="D190" s="70"/>
    </row>
    <row r="191" spans="1:4" x14ac:dyDescent="0.25">
      <c r="A191" s="257"/>
      <c r="B191" s="121"/>
      <c r="C191" s="122"/>
      <c r="D191" s="70"/>
    </row>
    <row r="192" spans="1:4" x14ac:dyDescent="0.25">
      <c r="A192" s="257"/>
      <c r="B192" s="121"/>
      <c r="C192" s="122"/>
      <c r="D192" s="70"/>
    </row>
    <row r="193" spans="1:4" x14ac:dyDescent="0.25">
      <c r="A193" s="257"/>
      <c r="B193" s="121"/>
      <c r="C193" s="122"/>
      <c r="D193" s="70"/>
    </row>
    <row r="194" spans="1:4" x14ac:dyDescent="0.25">
      <c r="A194" s="257"/>
      <c r="B194" s="121"/>
      <c r="C194" s="122"/>
      <c r="D194" s="70"/>
    </row>
    <row r="195" spans="1:4" x14ac:dyDescent="0.25">
      <c r="A195" s="257"/>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57">
        <v>16</v>
      </c>
      <c r="B198" s="121"/>
      <c r="C198" s="122"/>
      <c r="D198" s="70"/>
    </row>
    <row r="199" spans="1:4" x14ac:dyDescent="0.25">
      <c r="A199" s="257"/>
      <c r="B199" s="121"/>
      <c r="C199" s="122"/>
      <c r="D199" s="70"/>
    </row>
    <row r="200" spans="1:4" x14ac:dyDescent="0.25">
      <c r="A200" s="257"/>
      <c r="B200" s="121"/>
      <c r="C200" s="122"/>
      <c r="D200" s="70"/>
    </row>
    <row r="201" spans="1:4" x14ac:dyDescent="0.25">
      <c r="A201" s="257"/>
      <c r="B201" s="121"/>
      <c r="C201" s="122"/>
      <c r="D201" s="70"/>
    </row>
    <row r="202" spans="1:4" x14ac:dyDescent="0.25">
      <c r="A202" s="257"/>
      <c r="B202" s="121"/>
      <c r="C202" s="122"/>
      <c r="D202" s="70"/>
    </row>
    <row r="203" spans="1:4" x14ac:dyDescent="0.25">
      <c r="A203" s="257"/>
      <c r="B203" s="121"/>
      <c r="C203" s="122"/>
      <c r="D203" s="70"/>
    </row>
    <row r="204" spans="1:4" x14ac:dyDescent="0.25">
      <c r="A204" s="257"/>
      <c r="B204" s="121"/>
      <c r="C204" s="122"/>
      <c r="D204" s="70"/>
    </row>
    <row r="205" spans="1:4" x14ac:dyDescent="0.25">
      <c r="A205" s="257"/>
      <c r="B205" s="121"/>
      <c r="C205" s="122"/>
      <c r="D205" s="70"/>
    </row>
    <row r="206" spans="1:4" x14ac:dyDescent="0.25">
      <c r="A206" s="257"/>
      <c r="B206" s="121"/>
      <c r="C206" s="122"/>
      <c r="D206" s="70"/>
    </row>
    <row r="207" spans="1:4" x14ac:dyDescent="0.25">
      <c r="A207" s="257"/>
      <c r="B207" s="121"/>
      <c r="C207" s="122"/>
      <c r="D207" s="70"/>
    </row>
    <row r="208" spans="1:4" x14ac:dyDescent="0.25">
      <c r="A208" s="257"/>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57">
        <v>17</v>
      </c>
      <c r="B211" s="121" t="s">
        <v>197</v>
      </c>
      <c r="C211" s="122" t="s">
        <v>56</v>
      </c>
      <c r="D211" s="70">
        <v>14000</v>
      </c>
    </row>
    <row r="212" spans="1:4" x14ac:dyDescent="0.25">
      <c r="A212" s="257"/>
      <c r="B212" s="121"/>
      <c r="C212" s="122"/>
      <c r="D212" s="70"/>
    </row>
    <row r="213" spans="1:4" x14ac:dyDescent="0.25">
      <c r="A213" s="257"/>
      <c r="B213" s="121"/>
      <c r="C213" s="122"/>
      <c r="D213" s="70"/>
    </row>
    <row r="214" spans="1:4" x14ac:dyDescent="0.25">
      <c r="A214" s="257"/>
      <c r="B214" s="121"/>
      <c r="C214" s="122"/>
      <c r="D214" s="70"/>
    </row>
    <row r="215" spans="1:4" x14ac:dyDescent="0.25">
      <c r="A215" s="257"/>
      <c r="B215" s="121"/>
      <c r="C215" s="122"/>
      <c r="D215" s="70"/>
    </row>
    <row r="216" spans="1:4" x14ac:dyDescent="0.25">
      <c r="A216" s="257"/>
      <c r="B216" s="121"/>
      <c r="C216" s="122"/>
      <c r="D216" s="70"/>
    </row>
    <row r="217" spans="1:4" x14ac:dyDescent="0.25">
      <c r="A217" s="257"/>
      <c r="B217" s="121"/>
      <c r="C217" s="122"/>
      <c r="D217" s="70"/>
    </row>
    <row r="218" spans="1:4" x14ac:dyDescent="0.25">
      <c r="A218" s="257"/>
      <c r="B218" s="121"/>
      <c r="C218" s="122"/>
      <c r="D218" s="70"/>
    </row>
    <row r="219" spans="1:4" x14ac:dyDescent="0.25">
      <c r="A219" s="257"/>
      <c r="B219" s="121"/>
      <c r="C219" s="122"/>
      <c r="D219" s="70"/>
    </row>
    <row r="220" spans="1:4" x14ac:dyDescent="0.25">
      <c r="A220" s="257"/>
      <c r="B220" s="121"/>
      <c r="C220" s="122"/>
      <c r="D220" s="70"/>
    </row>
    <row r="221" spans="1:4" x14ac:dyDescent="0.25">
      <c r="A221" s="257"/>
      <c r="B221" s="121"/>
      <c r="C221" s="122"/>
      <c r="D221" s="70"/>
    </row>
    <row r="222" spans="1:4" x14ac:dyDescent="0.25">
      <c r="A222" s="124" t="s">
        <v>58</v>
      </c>
      <c r="B222" s="123"/>
      <c r="C222" s="123"/>
      <c r="D222" s="70">
        <f>SUM(D211:D221)</f>
        <v>14000</v>
      </c>
    </row>
    <row r="223" spans="1:4" x14ac:dyDescent="0.25">
      <c r="A223" s="125" t="s">
        <v>3</v>
      </c>
      <c r="B223" s="125" t="s">
        <v>150</v>
      </c>
      <c r="C223" s="125" t="s">
        <v>151</v>
      </c>
      <c r="D223" s="125" t="s">
        <v>165</v>
      </c>
    </row>
    <row r="224" spans="1:4" x14ac:dyDescent="0.25">
      <c r="A224" s="257">
        <v>18</v>
      </c>
      <c r="B224" s="121"/>
      <c r="C224" s="122"/>
      <c r="D224" s="70"/>
    </row>
    <row r="225" spans="1:4" x14ac:dyDescent="0.25">
      <c r="A225" s="257"/>
      <c r="B225" s="121"/>
      <c r="C225" s="122"/>
      <c r="D225" s="70"/>
    </row>
    <row r="226" spans="1:4" x14ac:dyDescent="0.25">
      <c r="A226" s="257"/>
      <c r="B226" s="121"/>
      <c r="C226" s="122"/>
      <c r="D226" s="70"/>
    </row>
    <row r="227" spans="1:4" x14ac:dyDescent="0.25">
      <c r="A227" s="257"/>
      <c r="B227" s="121"/>
      <c r="C227" s="122"/>
      <c r="D227" s="70"/>
    </row>
    <row r="228" spans="1:4" x14ac:dyDescent="0.25">
      <c r="A228" s="257"/>
      <c r="B228" s="121"/>
      <c r="C228" s="122"/>
      <c r="D228" s="70"/>
    </row>
    <row r="229" spans="1:4" x14ac:dyDescent="0.25">
      <c r="A229" s="257"/>
      <c r="B229" s="121"/>
      <c r="C229" s="122"/>
      <c r="D229" s="70"/>
    </row>
    <row r="230" spans="1:4" x14ac:dyDescent="0.25">
      <c r="A230" s="257"/>
      <c r="B230" s="121"/>
      <c r="C230" s="122"/>
      <c r="D230" s="70"/>
    </row>
    <row r="231" spans="1:4" x14ac:dyDescent="0.25">
      <c r="A231" s="257"/>
      <c r="B231" s="121"/>
      <c r="C231" s="122"/>
      <c r="D231" s="70"/>
    </row>
    <row r="232" spans="1:4" x14ac:dyDescent="0.25">
      <c r="A232" s="257"/>
      <c r="B232" s="121"/>
      <c r="C232" s="122"/>
      <c r="D232" s="70"/>
    </row>
    <row r="233" spans="1:4" x14ac:dyDescent="0.25">
      <c r="A233" s="257"/>
      <c r="B233" s="121"/>
      <c r="C233" s="122"/>
      <c r="D233" s="70"/>
    </row>
    <row r="234" spans="1:4" x14ac:dyDescent="0.25">
      <c r="A234" s="257"/>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7">
        <v>19</v>
      </c>
      <c r="B237" s="121"/>
      <c r="C237" s="122"/>
      <c r="D237" s="70"/>
    </row>
    <row r="238" spans="1:4" x14ac:dyDescent="0.25">
      <c r="A238" s="257"/>
      <c r="B238" s="121"/>
      <c r="C238" s="122"/>
      <c r="D238" s="70"/>
    </row>
    <row r="239" spans="1:4" x14ac:dyDescent="0.25">
      <c r="A239" s="257"/>
      <c r="B239" s="121"/>
      <c r="C239" s="122"/>
      <c r="D239" s="70"/>
    </row>
    <row r="240" spans="1:4" x14ac:dyDescent="0.25">
      <c r="A240" s="257"/>
      <c r="B240" s="121"/>
      <c r="C240" s="122"/>
      <c r="D240" s="70"/>
    </row>
    <row r="241" spans="1:4" x14ac:dyDescent="0.25">
      <c r="A241" s="257"/>
      <c r="B241" s="121"/>
      <c r="C241" s="122"/>
      <c r="D241" s="70"/>
    </row>
    <row r="242" spans="1:4" x14ac:dyDescent="0.25">
      <c r="A242" s="257"/>
      <c r="B242" s="121"/>
      <c r="C242" s="122"/>
      <c r="D242" s="70"/>
    </row>
    <row r="243" spans="1:4" x14ac:dyDescent="0.25">
      <c r="A243" s="257"/>
      <c r="B243" s="121"/>
      <c r="C243" s="122"/>
      <c r="D243" s="70"/>
    </row>
    <row r="244" spans="1:4" x14ac:dyDescent="0.25">
      <c r="A244" s="257"/>
      <c r="B244" s="121"/>
      <c r="C244" s="122"/>
      <c r="D244" s="70"/>
    </row>
    <row r="245" spans="1:4" x14ac:dyDescent="0.25">
      <c r="A245" s="257"/>
      <c r="B245" s="121"/>
      <c r="C245" s="122"/>
      <c r="D245" s="70"/>
    </row>
    <row r="246" spans="1:4" x14ac:dyDescent="0.25">
      <c r="A246" s="257"/>
      <c r="B246" s="121"/>
      <c r="C246" s="122"/>
      <c r="D246" s="70"/>
    </row>
    <row r="247" spans="1:4" x14ac:dyDescent="0.25">
      <c r="A247" s="257"/>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57">
        <v>20</v>
      </c>
      <c r="B250" s="121" t="s">
        <v>202</v>
      </c>
      <c r="C250" s="122" t="s">
        <v>57</v>
      </c>
      <c r="D250" s="70">
        <v>20000</v>
      </c>
    </row>
    <row r="251" spans="1:4" x14ac:dyDescent="0.25">
      <c r="A251" s="257"/>
      <c r="B251" s="121"/>
      <c r="C251" s="122"/>
      <c r="D251" s="70"/>
    </row>
    <row r="252" spans="1:4" x14ac:dyDescent="0.25">
      <c r="A252" s="257"/>
      <c r="B252" s="121"/>
      <c r="C252" s="122"/>
      <c r="D252" s="70"/>
    </row>
    <row r="253" spans="1:4" x14ac:dyDescent="0.25">
      <c r="A253" s="257"/>
      <c r="B253" s="121"/>
      <c r="C253" s="122"/>
      <c r="D253" s="70"/>
    </row>
    <row r="254" spans="1:4" x14ac:dyDescent="0.25">
      <c r="A254" s="257"/>
      <c r="B254" s="121"/>
      <c r="C254" s="122"/>
      <c r="D254" s="70"/>
    </row>
    <row r="255" spans="1:4" x14ac:dyDescent="0.25">
      <c r="A255" s="257"/>
      <c r="B255" s="121"/>
      <c r="C255" s="122"/>
      <c r="D255" s="70"/>
    </row>
    <row r="256" spans="1:4" x14ac:dyDescent="0.25">
      <c r="A256" s="257"/>
      <c r="B256" s="121"/>
      <c r="C256" s="122"/>
      <c r="D256" s="70"/>
    </row>
    <row r="257" spans="1:4" x14ac:dyDescent="0.25">
      <c r="A257" s="257"/>
      <c r="B257" s="121"/>
      <c r="C257" s="122"/>
      <c r="D257" s="70"/>
    </row>
    <row r="258" spans="1:4" x14ac:dyDescent="0.25">
      <c r="A258" s="257"/>
      <c r="B258" s="121"/>
      <c r="C258" s="122"/>
      <c r="D258" s="70"/>
    </row>
    <row r="259" spans="1:4" x14ac:dyDescent="0.25">
      <c r="A259" s="257"/>
      <c r="B259" s="121"/>
      <c r="C259" s="122"/>
      <c r="D259" s="70"/>
    </row>
    <row r="260" spans="1:4" x14ac:dyDescent="0.25">
      <c r="A260" s="257"/>
      <c r="B260" s="121"/>
      <c r="C260" s="122"/>
      <c r="D260" s="70"/>
    </row>
    <row r="261" spans="1:4" x14ac:dyDescent="0.25">
      <c r="A261" s="124" t="s">
        <v>58</v>
      </c>
      <c r="B261" s="123"/>
      <c r="C261" s="123"/>
      <c r="D261" s="70">
        <f>SUM(D250:D260)</f>
        <v>20000</v>
      </c>
    </row>
    <row r="262" spans="1:4" x14ac:dyDescent="0.25">
      <c r="A262" s="126" t="s">
        <v>3</v>
      </c>
      <c r="B262" s="126" t="s">
        <v>150</v>
      </c>
      <c r="C262" s="126" t="s">
        <v>151</v>
      </c>
      <c r="D262" s="126" t="s">
        <v>165</v>
      </c>
    </row>
    <row r="263" spans="1:4" x14ac:dyDescent="0.25">
      <c r="A263" s="257">
        <v>21</v>
      </c>
      <c r="B263" s="121"/>
      <c r="C263" s="122"/>
      <c r="D263" s="70"/>
    </row>
    <row r="264" spans="1:4" x14ac:dyDescent="0.25">
      <c r="A264" s="257"/>
      <c r="B264" s="121"/>
      <c r="C264" s="122"/>
      <c r="D264" s="70"/>
    </row>
    <row r="265" spans="1:4" x14ac:dyDescent="0.25">
      <c r="A265" s="257"/>
      <c r="B265" s="121"/>
      <c r="C265" s="122"/>
      <c r="D265" s="70"/>
    </row>
    <row r="266" spans="1:4" x14ac:dyDescent="0.25">
      <c r="A266" s="257"/>
      <c r="B266" s="121"/>
      <c r="C266" s="122"/>
      <c r="D266" s="70"/>
    </row>
    <row r="267" spans="1:4" x14ac:dyDescent="0.25">
      <c r="A267" s="257"/>
      <c r="B267" s="121"/>
      <c r="C267" s="122"/>
      <c r="D267" s="70"/>
    </row>
    <row r="268" spans="1:4" x14ac:dyDescent="0.25">
      <c r="A268" s="257"/>
      <c r="B268" s="121"/>
      <c r="C268" s="122"/>
      <c r="D268" s="70"/>
    </row>
    <row r="269" spans="1:4" x14ac:dyDescent="0.25">
      <c r="A269" s="257"/>
      <c r="B269" s="121"/>
      <c r="C269" s="122"/>
      <c r="D269" s="70"/>
    </row>
    <row r="270" spans="1:4" x14ac:dyDescent="0.25">
      <c r="A270" s="257"/>
      <c r="B270" s="121"/>
      <c r="C270" s="122"/>
      <c r="D270" s="70"/>
    </row>
    <row r="271" spans="1:4" x14ac:dyDescent="0.25">
      <c r="A271" s="257"/>
      <c r="B271" s="121"/>
      <c r="C271" s="122"/>
      <c r="D271" s="70"/>
    </row>
    <row r="272" spans="1:4" x14ac:dyDescent="0.25">
      <c r="A272" s="257"/>
      <c r="B272" s="121"/>
      <c r="C272" s="122"/>
      <c r="D272" s="70"/>
    </row>
    <row r="273" spans="1:4" x14ac:dyDescent="0.25">
      <c r="A273" s="257"/>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57">
        <v>22</v>
      </c>
      <c r="B276" s="121"/>
      <c r="C276" s="122"/>
      <c r="D276" s="70"/>
    </row>
    <row r="277" spans="1:4" x14ac:dyDescent="0.25">
      <c r="A277" s="257"/>
      <c r="B277" s="121"/>
      <c r="C277" s="122"/>
      <c r="D277" s="70"/>
    </row>
    <row r="278" spans="1:4" x14ac:dyDescent="0.25">
      <c r="A278" s="257"/>
      <c r="B278" s="121"/>
      <c r="C278" s="122"/>
      <c r="D278" s="70"/>
    </row>
    <row r="279" spans="1:4" x14ac:dyDescent="0.25">
      <c r="A279" s="257"/>
      <c r="B279" s="121"/>
      <c r="C279" s="122"/>
      <c r="D279" s="70"/>
    </row>
    <row r="280" spans="1:4" x14ac:dyDescent="0.25">
      <c r="A280" s="257"/>
      <c r="B280" s="121"/>
      <c r="C280" s="122"/>
      <c r="D280" s="70"/>
    </row>
    <row r="281" spans="1:4" x14ac:dyDescent="0.25">
      <c r="A281" s="257"/>
      <c r="B281" s="121"/>
      <c r="C281" s="122"/>
      <c r="D281" s="70"/>
    </row>
    <row r="282" spans="1:4" x14ac:dyDescent="0.25">
      <c r="A282" s="257"/>
      <c r="B282" s="121"/>
      <c r="C282" s="122"/>
      <c r="D282" s="70"/>
    </row>
    <row r="283" spans="1:4" x14ac:dyDescent="0.25">
      <c r="A283" s="257"/>
      <c r="B283" s="121"/>
      <c r="C283" s="122"/>
      <c r="D283" s="70"/>
    </row>
    <row r="284" spans="1:4" x14ac:dyDescent="0.25">
      <c r="A284" s="257"/>
      <c r="B284" s="121"/>
      <c r="C284" s="122"/>
      <c r="D284" s="70"/>
    </row>
    <row r="285" spans="1:4" x14ac:dyDescent="0.25">
      <c r="A285" s="257"/>
      <c r="B285" s="121"/>
      <c r="C285" s="122"/>
      <c r="D285" s="70"/>
    </row>
    <row r="286" spans="1:4" x14ac:dyDescent="0.25">
      <c r="A286" s="257"/>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7">
        <v>23</v>
      </c>
      <c r="B289" s="121"/>
      <c r="C289" s="122"/>
      <c r="D289" s="70"/>
    </row>
    <row r="290" spans="1:4" x14ac:dyDescent="0.25">
      <c r="A290" s="257"/>
      <c r="B290" s="121"/>
      <c r="C290" s="122"/>
      <c r="D290" s="70"/>
    </row>
    <row r="291" spans="1:4" x14ac:dyDescent="0.25">
      <c r="A291" s="257"/>
      <c r="B291" s="121"/>
      <c r="C291" s="122"/>
      <c r="D291" s="70"/>
    </row>
    <row r="292" spans="1:4" x14ac:dyDescent="0.25">
      <c r="A292" s="257"/>
      <c r="B292" s="121"/>
      <c r="C292" s="122"/>
      <c r="D292" s="70"/>
    </row>
    <row r="293" spans="1:4" x14ac:dyDescent="0.25">
      <c r="A293" s="257"/>
      <c r="B293" s="121"/>
      <c r="C293" s="122"/>
      <c r="D293" s="70"/>
    </row>
    <row r="294" spans="1:4" x14ac:dyDescent="0.25">
      <c r="A294" s="257"/>
      <c r="B294" s="121"/>
      <c r="C294" s="122"/>
      <c r="D294" s="70"/>
    </row>
    <row r="295" spans="1:4" x14ac:dyDescent="0.25">
      <c r="A295" s="257"/>
      <c r="B295" s="121"/>
      <c r="C295" s="122"/>
      <c r="D295" s="70"/>
    </row>
    <row r="296" spans="1:4" x14ac:dyDescent="0.25">
      <c r="A296" s="257"/>
      <c r="B296" s="121"/>
      <c r="C296" s="122"/>
      <c r="D296" s="70"/>
    </row>
    <row r="297" spans="1:4" x14ac:dyDescent="0.25">
      <c r="A297" s="257"/>
      <c r="B297" s="121"/>
      <c r="C297" s="122"/>
      <c r="D297" s="70"/>
    </row>
    <row r="298" spans="1:4" x14ac:dyDescent="0.25">
      <c r="A298" s="257"/>
      <c r="B298" s="121"/>
      <c r="C298" s="122"/>
      <c r="D298" s="70"/>
    </row>
    <row r="299" spans="1:4" x14ac:dyDescent="0.25">
      <c r="A299" s="257"/>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57">
        <v>24</v>
      </c>
      <c r="B302" s="121"/>
      <c r="C302" s="122"/>
      <c r="D302" s="70"/>
    </row>
    <row r="303" spans="1:4" x14ac:dyDescent="0.25">
      <c r="A303" s="257"/>
      <c r="B303" s="121"/>
      <c r="C303" s="122"/>
      <c r="D303" s="70"/>
    </row>
    <row r="304" spans="1:4" x14ac:dyDescent="0.25">
      <c r="A304" s="257"/>
      <c r="B304" s="121"/>
      <c r="C304" s="122"/>
      <c r="D304" s="70"/>
    </row>
    <row r="305" spans="1:4" x14ac:dyDescent="0.25">
      <c r="A305" s="257"/>
      <c r="B305" s="121"/>
      <c r="C305" s="122"/>
      <c r="D305" s="70"/>
    </row>
    <row r="306" spans="1:4" x14ac:dyDescent="0.25">
      <c r="A306" s="257"/>
      <c r="B306" s="121"/>
      <c r="C306" s="122"/>
      <c r="D306" s="70"/>
    </row>
    <row r="307" spans="1:4" x14ac:dyDescent="0.25">
      <c r="A307" s="257"/>
      <c r="B307" s="121"/>
      <c r="C307" s="122"/>
      <c r="D307" s="70"/>
    </row>
    <row r="308" spans="1:4" x14ac:dyDescent="0.25">
      <c r="A308" s="257"/>
      <c r="B308" s="121"/>
      <c r="C308" s="122"/>
      <c r="D308" s="70"/>
    </row>
    <row r="309" spans="1:4" x14ac:dyDescent="0.25">
      <c r="A309" s="257"/>
      <c r="B309" s="121"/>
      <c r="C309" s="122"/>
      <c r="D309" s="70"/>
    </row>
    <row r="310" spans="1:4" x14ac:dyDescent="0.25">
      <c r="A310" s="257"/>
      <c r="B310" s="121"/>
      <c r="C310" s="122"/>
      <c r="D310" s="70"/>
    </row>
    <row r="311" spans="1:4" x14ac:dyDescent="0.25">
      <c r="A311" s="257"/>
      <c r="B311" s="121"/>
      <c r="C311" s="122"/>
      <c r="D311" s="70"/>
    </row>
    <row r="312" spans="1:4" x14ac:dyDescent="0.25">
      <c r="A312" s="257"/>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57">
        <v>25</v>
      </c>
      <c r="B315" s="121"/>
      <c r="C315" s="122"/>
      <c r="D315" s="70"/>
    </row>
    <row r="316" spans="1:4" x14ac:dyDescent="0.25">
      <c r="A316" s="257"/>
      <c r="B316" s="121"/>
      <c r="C316" s="122"/>
      <c r="D316" s="70"/>
    </row>
    <row r="317" spans="1:4" x14ac:dyDescent="0.25">
      <c r="A317" s="257"/>
      <c r="B317" s="121"/>
      <c r="C317" s="122"/>
      <c r="D317" s="70"/>
    </row>
    <row r="318" spans="1:4" x14ac:dyDescent="0.25">
      <c r="A318" s="257"/>
      <c r="B318" s="121"/>
      <c r="C318" s="122"/>
      <c r="D318" s="70"/>
    </row>
    <row r="319" spans="1:4" x14ac:dyDescent="0.25">
      <c r="A319" s="257"/>
      <c r="B319" s="121"/>
      <c r="C319" s="122"/>
      <c r="D319" s="70"/>
    </row>
    <row r="320" spans="1:4" x14ac:dyDescent="0.25">
      <c r="A320" s="257"/>
      <c r="B320" s="121"/>
      <c r="C320" s="122"/>
      <c r="D320" s="70"/>
    </row>
    <row r="321" spans="1:4" x14ac:dyDescent="0.25">
      <c r="A321" s="257"/>
      <c r="B321" s="121"/>
      <c r="C321" s="122"/>
      <c r="D321" s="70"/>
    </row>
    <row r="322" spans="1:4" x14ac:dyDescent="0.25">
      <c r="A322" s="257"/>
      <c r="B322" s="121"/>
      <c r="C322" s="122"/>
      <c r="D322" s="70"/>
    </row>
    <row r="323" spans="1:4" x14ac:dyDescent="0.25">
      <c r="A323" s="257"/>
      <c r="B323" s="121"/>
      <c r="C323" s="122"/>
      <c r="D323" s="70"/>
    </row>
    <row r="324" spans="1:4" x14ac:dyDescent="0.25">
      <c r="A324" s="257"/>
      <c r="B324" s="121"/>
      <c r="C324" s="122"/>
      <c r="D324" s="70"/>
    </row>
    <row r="325" spans="1:4" x14ac:dyDescent="0.25">
      <c r="A325" s="257"/>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57">
        <v>26</v>
      </c>
      <c r="B328" s="121" t="s">
        <v>209</v>
      </c>
      <c r="C328" s="122" t="s">
        <v>56</v>
      </c>
      <c r="D328" s="70">
        <v>8000</v>
      </c>
    </row>
    <row r="329" spans="1:4" x14ac:dyDescent="0.25">
      <c r="A329" s="257"/>
      <c r="B329" s="121"/>
      <c r="C329" s="122"/>
      <c r="D329" s="70"/>
    </row>
    <row r="330" spans="1:4" x14ac:dyDescent="0.25">
      <c r="A330" s="257"/>
      <c r="B330" s="121"/>
      <c r="C330" s="122"/>
      <c r="D330" s="70"/>
    </row>
    <row r="331" spans="1:4" x14ac:dyDescent="0.25">
      <c r="A331" s="257"/>
      <c r="B331" s="121"/>
      <c r="C331" s="122"/>
      <c r="D331" s="70"/>
    </row>
    <row r="332" spans="1:4" x14ac:dyDescent="0.25">
      <c r="A332" s="257"/>
      <c r="B332" s="121"/>
      <c r="C332" s="122"/>
      <c r="D332" s="70"/>
    </row>
    <row r="333" spans="1:4" x14ac:dyDescent="0.25">
      <c r="A333" s="257"/>
      <c r="B333" s="121"/>
      <c r="C333" s="122"/>
      <c r="D333" s="70"/>
    </row>
    <row r="334" spans="1:4" x14ac:dyDescent="0.25">
      <c r="A334" s="257"/>
      <c r="B334" s="121"/>
      <c r="C334" s="122"/>
      <c r="D334" s="70"/>
    </row>
    <row r="335" spans="1:4" x14ac:dyDescent="0.25">
      <c r="A335" s="257"/>
      <c r="B335" s="121"/>
      <c r="C335" s="122"/>
      <c r="D335" s="70"/>
    </row>
    <row r="336" spans="1:4" x14ac:dyDescent="0.25">
      <c r="A336" s="257"/>
      <c r="B336" s="121"/>
      <c r="C336" s="122"/>
      <c r="D336" s="70"/>
    </row>
    <row r="337" spans="1:4" x14ac:dyDescent="0.25">
      <c r="A337" s="257"/>
      <c r="B337" s="121"/>
      <c r="C337" s="122"/>
      <c r="D337" s="70"/>
    </row>
    <row r="338" spans="1:4" x14ac:dyDescent="0.25">
      <c r="A338" s="257"/>
      <c r="B338" s="121"/>
      <c r="C338" s="122"/>
      <c r="D338" s="70"/>
    </row>
    <row r="339" spans="1:4" x14ac:dyDescent="0.25">
      <c r="A339" s="124" t="s">
        <v>58</v>
      </c>
      <c r="B339" s="123"/>
      <c r="C339" s="123"/>
      <c r="D339" s="70">
        <f>SUM(D328:D338)</f>
        <v>8000</v>
      </c>
    </row>
    <row r="340" spans="1:4" x14ac:dyDescent="0.25">
      <c r="A340" s="126" t="s">
        <v>3</v>
      </c>
      <c r="B340" s="126" t="s">
        <v>150</v>
      </c>
      <c r="C340" s="126" t="s">
        <v>151</v>
      </c>
      <c r="D340" s="126" t="s">
        <v>165</v>
      </c>
    </row>
    <row r="341" spans="1:4" x14ac:dyDescent="0.25">
      <c r="A341" s="257">
        <v>27</v>
      </c>
      <c r="B341" s="121"/>
      <c r="C341" s="122"/>
      <c r="D341" s="70"/>
    </row>
    <row r="342" spans="1:4" x14ac:dyDescent="0.25">
      <c r="A342" s="257"/>
      <c r="B342" s="121"/>
      <c r="C342" s="122"/>
      <c r="D342" s="70"/>
    </row>
    <row r="343" spans="1:4" x14ac:dyDescent="0.25">
      <c r="A343" s="257"/>
      <c r="B343" s="121"/>
      <c r="C343" s="122"/>
      <c r="D343" s="70"/>
    </row>
    <row r="344" spans="1:4" x14ac:dyDescent="0.25">
      <c r="A344" s="257"/>
      <c r="B344" s="121"/>
      <c r="C344" s="122"/>
      <c r="D344" s="70"/>
    </row>
    <row r="345" spans="1:4" x14ac:dyDescent="0.25">
      <c r="A345" s="257"/>
      <c r="B345" s="121"/>
      <c r="C345" s="122"/>
      <c r="D345" s="70"/>
    </row>
    <row r="346" spans="1:4" x14ac:dyDescent="0.25">
      <c r="A346" s="257"/>
      <c r="B346" s="121"/>
      <c r="C346" s="122"/>
      <c r="D346" s="70"/>
    </row>
    <row r="347" spans="1:4" x14ac:dyDescent="0.25">
      <c r="A347" s="257"/>
      <c r="B347" s="121"/>
      <c r="C347" s="122"/>
      <c r="D347" s="70"/>
    </row>
    <row r="348" spans="1:4" x14ac:dyDescent="0.25">
      <c r="A348" s="257"/>
      <c r="B348" s="121"/>
      <c r="C348" s="122"/>
      <c r="D348" s="70"/>
    </row>
    <row r="349" spans="1:4" x14ac:dyDescent="0.25">
      <c r="A349" s="257"/>
      <c r="B349" s="121"/>
      <c r="C349" s="122"/>
      <c r="D349" s="70"/>
    </row>
    <row r="350" spans="1:4" x14ac:dyDescent="0.25">
      <c r="A350" s="257"/>
      <c r="B350" s="121"/>
      <c r="C350" s="122"/>
      <c r="D350" s="70"/>
    </row>
    <row r="351" spans="1:4" x14ac:dyDescent="0.25">
      <c r="A351" s="257"/>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7">
        <v>28</v>
      </c>
      <c r="B354" s="121"/>
      <c r="C354" s="122"/>
      <c r="D354" s="70"/>
    </row>
    <row r="355" spans="1:4" x14ac:dyDescent="0.25">
      <c r="A355" s="257"/>
      <c r="B355" s="121"/>
      <c r="C355" s="122"/>
      <c r="D355" s="70"/>
    </row>
    <row r="356" spans="1:4" x14ac:dyDescent="0.25">
      <c r="A356" s="257"/>
      <c r="B356" s="121"/>
      <c r="C356" s="122"/>
      <c r="D356" s="70"/>
    </row>
    <row r="357" spans="1:4" x14ac:dyDescent="0.25">
      <c r="A357" s="257"/>
      <c r="B357" s="121"/>
      <c r="C357" s="122"/>
      <c r="D357" s="70"/>
    </row>
    <row r="358" spans="1:4" x14ac:dyDescent="0.25">
      <c r="A358" s="257"/>
      <c r="B358" s="121"/>
      <c r="C358" s="122"/>
      <c r="D358" s="70"/>
    </row>
    <row r="359" spans="1:4" x14ac:dyDescent="0.25">
      <c r="A359" s="257"/>
      <c r="B359" s="121"/>
      <c r="C359" s="122"/>
      <c r="D359" s="70"/>
    </row>
    <row r="360" spans="1:4" x14ac:dyDescent="0.25">
      <c r="A360" s="257"/>
      <c r="B360" s="121"/>
      <c r="C360" s="122"/>
      <c r="D360" s="70"/>
    </row>
    <row r="361" spans="1:4" x14ac:dyDescent="0.25">
      <c r="A361" s="257"/>
      <c r="B361" s="121"/>
      <c r="C361" s="122"/>
      <c r="D361" s="70"/>
    </row>
    <row r="362" spans="1:4" x14ac:dyDescent="0.25">
      <c r="A362" s="257"/>
      <c r="B362" s="121"/>
      <c r="C362" s="122"/>
      <c r="D362" s="70"/>
    </row>
    <row r="363" spans="1:4" x14ac:dyDescent="0.25">
      <c r="A363" s="257"/>
      <c r="B363" s="121"/>
      <c r="C363" s="122"/>
      <c r="D363" s="70"/>
    </row>
    <row r="364" spans="1:4" x14ac:dyDescent="0.25">
      <c r="A364" s="257"/>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57">
        <v>29</v>
      </c>
      <c r="B367" s="121"/>
      <c r="C367" s="122"/>
      <c r="D367" s="70"/>
    </row>
    <row r="368" spans="1:4" x14ac:dyDescent="0.25">
      <c r="A368" s="257"/>
      <c r="B368" s="121"/>
      <c r="C368" s="122"/>
      <c r="D368" s="70"/>
    </row>
    <row r="369" spans="1:4" x14ac:dyDescent="0.25">
      <c r="A369" s="257"/>
      <c r="B369" s="121"/>
      <c r="C369" s="122"/>
      <c r="D369" s="70"/>
    </row>
    <row r="370" spans="1:4" x14ac:dyDescent="0.25">
      <c r="A370" s="257"/>
      <c r="B370" s="121"/>
      <c r="C370" s="122"/>
      <c r="D370" s="70"/>
    </row>
    <row r="371" spans="1:4" x14ac:dyDescent="0.25">
      <c r="A371" s="257"/>
      <c r="B371" s="121"/>
      <c r="C371" s="122"/>
      <c r="D371" s="70"/>
    </row>
    <row r="372" spans="1:4" x14ac:dyDescent="0.25">
      <c r="A372" s="257"/>
      <c r="B372" s="121"/>
      <c r="C372" s="122"/>
      <c r="D372" s="70"/>
    </row>
    <row r="373" spans="1:4" x14ac:dyDescent="0.25">
      <c r="A373" s="257"/>
      <c r="B373" s="121"/>
      <c r="C373" s="122"/>
      <c r="D373" s="70"/>
    </row>
    <row r="374" spans="1:4" x14ac:dyDescent="0.25">
      <c r="A374" s="257"/>
      <c r="B374" s="121"/>
      <c r="C374" s="122"/>
      <c r="D374" s="70"/>
    </row>
    <row r="375" spans="1:4" x14ac:dyDescent="0.25">
      <c r="A375" s="257"/>
      <c r="B375" s="121"/>
      <c r="C375" s="122"/>
      <c r="D375" s="70"/>
    </row>
    <row r="376" spans="1:4" x14ac:dyDescent="0.25">
      <c r="A376" s="257"/>
      <c r="B376" s="121"/>
      <c r="C376" s="122"/>
      <c r="D376" s="70"/>
    </row>
    <row r="377" spans="1:4" x14ac:dyDescent="0.25">
      <c r="A377" s="257"/>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57">
        <v>30</v>
      </c>
      <c r="B380" s="121"/>
      <c r="C380" s="122"/>
      <c r="D380" s="70"/>
    </row>
    <row r="381" spans="1:4" x14ac:dyDescent="0.25">
      <c r="A381" s="257"/>
      <c r="B381" s="121"/>
      <c r="C381" s="122"/>
      <c r="D381" s="70"/>
    </row>
    <row r="382" spans="1:4" x14ac:dyDescent="0.25">
      <c r="A382" s="257"/>
      <c r="B382" s="121"/>
      <c r="C382" s="122"/>
      <c r="D382" s="70"/>
    </row>
    <row r="383" spans="1:4" x14ac:dyDescent="0.25">
      <c r="A383" s="257"/>
      <c r="B383" s="121"/>
      <c r="C383" s="122"/>
      <c r="D383" s="70"/>
    </row>
    <row r="384" spans="1:4" x14ac:dyDescent="0.25">
      <c r="A384" s="257"/>
      <c r="B384" s="121"/>
      <c r="C384" s="122"/>
      <c r="D384" s="70"/>
    </row>
    <row r="385" spans="1:4" x14ac:dyDescent="0.25">
      <c r="A385" s="257"/>
      <c r="B385" s="121"/>
      <c r="C385" s="122"/>
      <c r="D385" s="70"/>
    </row>
    <row r="386" spans="1:4" x14ac:dyDescent="0.25">
      <c r="A386" s="257"/>
      <c r="B386" s="121"/>
      <c r="C386" s="122"/>
      <c r="D386" s="70"/>
    </row>
    <row r="387" spans="1:4" x14ac:dyDescent="0.25">
      <c r="A387" s="257"/>
      <c r="B387" s="121"/>
      <c r="C387" s="122"/>
      <c r="D387" s="70"/>
    </row>
    <row r="388" spans="1:4" x14ac:dyDescent="0.25">
      <c r="A388" s="257"/>
      <c r="B388" s="121"/>
      <c r="C388" s="122"/>
      <c r="D388" s="70"/>
    </row>
    <row r="389" spans="1:4" x14ac:dyDescent="0.25">
      <c r="A389" s="257"/>
      <c r="B389" s="121"/>
      <c r="C389" s="122"/>
      <c r="D389" s="70"/>
    </row>
    <row r="390" spans="1:4" x14ac:dyDescent="0.25">
      <c r="A390" s="257"/>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57">
        <v>31</v>
      </c>
      <c r="B393" s="121"/>
      <c r="C393" s="122"/>
      <c r="D393" s="70"/>
    </row>
    <row r="394" spans="1:4" x14ac:dyDescent="0.25">
      <c r="A394" s="257"/>
      <c r="B394" s="121"/>
      <c r="C394" s="122"/>
      <c r="D394" s="70"/>
    </row>
    <row r="395" spans="1:4" x14ac:dyDescent="0.25">
      <c r="A395" s="257"/>
      <c r="B395" s="121"/>
      <c r="C395" s="122"/>
      <c r="D395" s="70"/>
    </row>
    <row r="396" spans="1:4" x14ac:dyDescent="0.25">
      <c r="A396" s="257"/>
      <c r="B396" s="121"/>
      <c r="C396" s="122"/>
      <c r="D396" s="70"/>
    </row>
    <row r="397" spans="1:4" x14ac:dyDescent="0.25">
      <c r="A397" s="257"/>
      <c r="B397" s="121"/>
      <c r="C397" s="122"/>
      <c r="D397" s="70"/>
    </row>
    <row r="398" spans="1:4" x14ac:dyDescent="0.25">
      <c r="A398" s="257"/>
      <c r="B398" s="121"/>
      <c r="C398" s="122"/>
      <c r="D398" s="70"/>
    </row>
    <row r="399" spans="1:4" x14ac:dyDescent="0.25">
      <c r="A399" s="257"/>
      <c r="B399" s="121"/>
      <c r="C399" s="122"/>
      <c r="D399" s="70"/>
    </row>
    <row r="400" spans="1:4" x14ac:dyDescent="0.25">
      <c r="A400" s="257"/>
      <c r="B400" s="121"/>
      <c r="C400" s="122"/>
      <c r="D400" s="70"/>
    </row>
    <row r="401" spans="1:4" x14ac:dyDescent="0.25">
      <c r="A401" s="257"/>
      <c r="B401" s="121"/>
      <c r="C401" s="122"/>
      <c r="D401" s="70"/>
    </row>
    <row r="402" spans="1:4" x14ac:dyDescent="0.25">
      <c r="A402" s="257"/>
      <c r="B402" s="121"/>
      <c r="C402" s="122"/>
      <c r="D402" s="70"/>
    </row>
    <row r="403" spans="1:4" x14ac:dyDescent="0.25">
      <c r="A403" s="257"/>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94000</v>
      </c>
    </row>
    <row r="408" spans="1:4" x14ac:dyDescent="0.25">
      <c r="C408" s="130" t="s">
        <v>56</v>
      </c>
      <c r="D408" s="70">
        <f>+SUMIF($C$3:$D$403,C408,$D$3:$I$407)</f>
        <v>74000</v>
      </c>
    </row>
    <row r="409" spans="1:4" x14ac:dyDescent="0.25">
      <c r="C409" s="130" t="s">
        <v>152</v>
      </c>
      <c r="D409" s="70">
        <f>+SUMIF($C$3:$D$403,C409,$D$3:$I$407)</f>
        <v>0</v>
      </c>
    </row>
    <row r="410" spans="1:4" x14ac:dyDescent="0.25">
      <c r="C410" s="130" t="s">
        <v>153</v>
      </c>
      <c r="D410" s="70">
        <f>+SUMIF($C$3:$D$403,C410,$D$3:$I$407)</f>
        <v>0</v>
      </c>
    </row>
    <row r="411" spans="1:4" x14ac:dyDescent="0.25">
      <c r="C411" s="130" t="s">
        <v>57</v>
      </c>
      <c r="D411" s="70">
        <f>+SUMIF($C$3:$D$403,C411,$D$3:$I$407)</f>
        <v>20000</v>
      </c>
    </row>
    <row r="412" spans="1:4" x14ac:dyDescent="0.25">
      <c r="C412" s="131" t="s">
        <v>58</v>
      </c>
      <c r="D412" s="70">
        <f>SUM(D408:D411)</f>
        <v>94000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5"/>
  <sheetViews>
    <sheetView topLeftCell="A178" zoomScale="85" zoomScaleNormal="85" workbookViewId="0">
      <selection activeCell="D185" sqref="D185"/>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89"/>
      <c r="B1" s="290"/>
      <c r="C1" s="290"/>
      <c r="D1" s="290"/>
      <c r="E1" s="290"/>
      <c r="F1" s="290"/>
    </row>
    <row r="2" spans="1:30" ht="18.75" customHeight="1" x14ac:dyDescent="0.25">
      <c r="A2" s="291"/>
      <c r="B2" s="292"/>
      <c r="C2" s="292"/>
      <c r="D2" s="292"/>
      <c r="E2" s="292"/>
      <c r="F2" s="292"/>
      <c r="I2" s="144" t="s">
        <v>3</v>
      </c>
      <c r="J2" s="144" t="s">
        <v>76</v>
      </c>
      <c r="K2" s="144" t="s">
        <v>77</v>
      </c>
      <c r="L2" s="144" t="s">
        <v>78</v>
      </c>
      <c r="M2" s="144" t="s">
        <v>75</v>
      </c>
      <c r="N2" s="144" t="s">
        <v>79</v>
      </c>
      <c r="O2" s="145" t="s">
        <v>80</v>
      </c>
    </row>
    <row r="3" spans="1:30" ht="18.75" customHeight="1" x14ac:dyDescent="0.25">
      <c r="A3" s="291"/>
      <c r="B3" s="292"/>
      <c r="C3" s="292"/>
      <c r="D3" s="292"/>
      <c r="E3" s="292"/>
      <c r="F3" s="292"/>
      <c r="H3" s="146"/>
      <c r="I3" s="144"/>
      <c r="J3" s="147"/>
      <c r="K3" s="144"/>
      <c r="L3" s="148"/>
      <c r="M3" s="148"/>
      <c r="N3" s="148"/>
      <c r="O3" s="149">
        <f>F6</f>
        <v>392550</v>
      </c>
    </row>
    <row r="4" spans="1:30" ht="22.5" customHeight="1" x14ac:dyDescent="0.25">
      <c r="A4" s="293"/>
      <c r="B4" s="294"/>
      <c r="C4" s="294"/>
      <c r="D4" s="294"/>
      <c r="E4" s="294"/>
      <c r="F4" s="294"/>
      <c r="I4" s="150">
        <v>1</v>
      </c>
      <c r="J4" s="151">
        <v>1300000</v>
      </c>
      <c r="K4" s="152">
        <f>VENTAS!E10</f>
        <v>824000</v>
      </c>
      <c r="L4" s="152"/>
      <c r="M4" s="153"/>
      <c r="N4" s="154">
        <v>1300000</v>
      </c>
      <c r="O4" s="155">
        <f>O3+K4-M4-N4</f>
        <v>-83450</v>
      </c>
    </row>
    <row r="5" spans="1:30" x14ac:dyDescent="0.25">
      <c r="A5" s="156" t="s">
        <v>3</v>
      </c>
      <c r="B5" s="157"/>
      <c r="C5" s="158" t="s">
        <v>82</v>
      </c>
      <c r="D5" s="158" t="s">
        <v>83</v>
      </c>
      <c r="E5" s="158" t="s">
        <v>84</v>
      </c>
      <c r="F5" s="158" t="s">
        <v>54</v>
      </c>
      <c r="I5" s="159">
        <v>2</v>
      </c>
      <c r="J5" s="151">
        <v>1300000</v>
      </c>
      <c r="K5" s="160">
        <f>VENTAS!E13</f>
        <v>1219000</v>
      </c>
      <c r="L5" s="161"/>
      <c r="M5" s="162"/>
      <c r="N5" s="154">
        <v>1300000</v>
      </c>
      <c r="O5" s="163">
        <f>+J5+K5-M5-N5</f>
        <v>1219000</v>
      </c>
    </row>
    <row r="6" spans="1:30" x14ac:dyDescent="0.25">
      <c r="A6" s="258">
        <v>1</v>
      </c>
      <c r="B6" s="164" t="s">
        <v>162</v>
      </c>
      <c r="C6" s="165">
        <v>392550</v>
      </c>
      <c r="D6" s="194">
        <v>0</v>
      </c>
      <c r="E6" s="186"/>
      <c r="F6" s="186">
        <f>+C6</f>
        <v>392550</v>
      </c>
      <c r="I6" s="166">
        <v>3</v>
      </c>
      <c r="J6" s="151">
        <v>1300001</v>
      </c>
      <c r="K6" s="160">
        <f>VENTAS!E14</f>
        <v>586000</v>
      </c>
      <c r="L6" s="161"/>
      <c r="M6" s="162"/>
      <c r="N6" s="154">
        <v>1300001</v>
      </c>
      <c r="O6" s="163">
        <f t="shared" ref="O6:O37" si="0">+J6+K6-M6-N6</f>
        <v>586000</v>
      </c>
    </row>
    <row r="7" spans="1:30" x14ac:dyDescent="0.25">
      <c r="A7" s="258"/>
      <c r="B7" s="164" t="s">
        <v>91</v>
      </c>
      <c r="C7" s="165">
        <v>441000</v>
      </c>
      <c r="D7" s="165">
        <v>0</v>
      </c>
      <c r="E7" s="165">
        <v>0</v>
      </c>
      <c r="F7" s="165">
        <f>+C7-D7-E7+F6</f>
        <v>833550</v>
      </c>
      <c r="I7" s="167">
        <v>4</v>
      </c>
      <c r="J7" s="151">
        <v>1300002</v>
      </c>
      <c r="K7" s="160">
        <f>VENTAS!E15</f>
        <v>1805000</v>
      </c>
      <c r="L7" s="161"/>
      <c r="M7" s="162"/>
      <c r="N7" s="154">
        <v>1300002</v>
      </c>
      <c r="O7" s="163">
        <f>+J7+K7-M7-N7</f>
        <v>1805000</v>
      </c>
    </row>
    <row r="8" spans="1:30" x14ac:dyDescent="0.25">
      <c r="A8" s="258"/>
      <c r="B8" s="164" t="s">
        <v>91</v>
      </c>
      <c r="C8" s="165">
        <v>383000</v>
      </c>
      <c r="D8" s="165">
        <v>0</v>
      </c>
      <c r="E8" s="165">
        <v>0</v>
      </c>
      <c r="F8" s="165">
        <f>+C8-D8-E8+F7</f>
        <v>1216550</v>
      </c>
      <c r="I8" s="150">
        <v>5</v>
      </c>
      <c r="J8" s="151">
        <v>1300003</v>
      </c>
      <c r="K8" s="160">
        <f>VENTAS!E16</f>
        <v>767000</v>
      </c>
      <c r="L8" s="161"/>
      <c r="M8" s="162"/>
      <c r="N8" s="154">
        <v>1300003</v>
      </c>
      <c r="O8" s="163">
        <f>+J8+K8-M8-N8</f>
        <v>767000</v>
      </c>
    </row>
    <row r="9" spans="1:30" x14ac:dyDescent="0.25">
      <c r="A9" s="258"/>
      <c r="B9" s="164" t="s">
        <v>92</v>
      </c>
      <c r="C9" s="165">
        <v>0</v>
      </c>
      <c r="D9" s="165">
        <v>477150</v>
      </c>
      <c r="E9" s="165">
        <v>0</v>
      </c>
      <c r="F9" s="165">
        <f>+C9-D9-E9+F8</f>
        <v>739400</v>
      </c>
      <c r="I9" s="159">
        <v>6</v>
      </c>
      <c r="J9" s="151">
        <v>1300004</v>
      </c>
      <c r="K9" s="160">
        <f>VENTAS!E17</f>
        <v>310000</v>
      </c>
      <c r="L9" s="161"/>
      <c r="M9" s="162"/>
      <c r="N9" s="154">
        <v>1300004</v>
      </c>
      <c r="O9" s="163">
        <f>+J9+K9-M9-N9</f>
        <v>310000</v>
      </c>
    </row>
    <row r="10" spans="1:30" x14ac:dyDescent="0.25">
      <c r="A10" s="258"/>
      <c r="B10" s="164"/>
      <c r="C10" s="165">
        <v>0</v>
      </c>
      <c r="D10" s="165">
        <f>110000</f>
        <v>110000</v>
      </c>
      <c r="E10" s="165">
        <v>0</v>
      </c>
      <c r="F10" s="165">
        <f>+C10-D10-E10+F9</f>
        <v>629400</v>
      </c>
      <c r="I10" s="166">
        <v>7</v>
      </c>
      <c r="J10" s="151">
        <v>1300005</v>
      </c>
      <c r="K10" s="160">
        <f>VENTAS!E18</f>
        <v>1077000</v>
      </c>
      <c r="L10" s="161"/>
      <c r="M10" s="162"/>
      <c r="N10" s="154">
        <v>1300005</v>
      </c>
      <c r="O10" s="163">
        <f>+J10+K10-M10-N10</f>
        <v>1077000</v>
      </c>
    </row>
    <row r="11" spans="1:30" x14ac:dyDescent="0.25">
      <c r="A11" s="258"/>
      <c r="B11" s="133" t="s">
        <v>156</v>
      </c>
      <c r="C11" s="186">
        <f ca="1">+SUMIF(ACCESORIOS!C3:D13,ACCESORIOS!H2,ACCESORIOS!D3:D13)</f>
        <v>0</v>
      </c>
      <c r="D11" s="165">
        <v>0</v>
      </c>
      <c r="E11" s="165">
        <v>0</v>
      </c>
      <c r="F11" s="165">
        <f ca="1">+C11-D11-E11+F10</f>
        <v>629400</v>
      </c>
      <c r="I11" s="159">
        <v>8</v>
      </c>
      <c r="J11" s="151">
        <v>1300011</v>
      </c>
      <c r="K11" s="160">
        <f>VENTAS!E24</f>
        <v>422000</v>
      </c>
      <c r="L11" s="161"/>
      <c r="M11" s="162"/>
      <c r="N11" s="154">
        <v>1300011</v>
      </c>
      <c r="O11" s="163">
        <f t="shared" si="0"/>
        <v>422000</v>
      </c>
    </row>
    <row r="12" spans="1:30" x14ac:dyDescent="0.25">
      <c r="A12" s="168" t="s">
        <v>58</v>
      </c>
      <c r="B12" s="169"/>
      <c r="C12" s="170">
        <f ca="1">SUM(C6:C11)</f>
        <v>1216550</v>
      </c>
      <c r="D12" s="170">
        <f>SUM(D6:D11)</f>
        <v>587150</v>
      </c>
      <c r="E12" s="170">
        <f>SUM(E6:E11)</f>
        <v>0</v>
      </c>
      <c r="F12" s="170">
        <f ca="1">F11</f>
        <v>629400</v>
      </c>
      <c r="I12" s="166">
        <v>9</v>
      </c>
      <c r="J12" s="151">
        <v>1300012</v>
      </c>
      <c r="K12" s="160">
        <f>VENTAS!E25</f>
        <v>413000</v>
      </c>
      <c r="L12" s="161"/>
      <c r="M12" s="162"/>
      <c r="N12" s="154">
        <v>1300012</v>
      </c>
      <c r="O12" s="163">
        <f t="shared" si="0"/>
        <v>413000</v>
      </c>
    </row>
    <row r="13" spans="1:30" x14ac:dyDescent="0.25">
      <c r="A13" s="262">
        <v>2</v>
      </c>
      <c r="B13" s="164" t="s">
        <v>91</v>
      </c>
      <c r="C13" s="165">
        <v>311000</v>
      </c>
      <c r="D13" s="165">
        <v>0</v>
      </c>
      <c r="E13" s="165">
        <v>0</v>
      </c>
      <c r="F13" s="165">
        <f ca="1">+C13-D13-E13+F12</f>
        <v>940400</v>
      </c>
      <c r="I13" s="159">
        <v>10</v>
      </c>
      <c r="J13" s="151">
        <v>1300013</v>
      </c>
      <c r="K13" s="160">
        <f>VENTAS!E26</f>
        <v>198000</v>
      </c>
      <c r="L13" s="161"/>
      <c r="M13" s="162"/>
      <c r="N13" s="154">
        <v>1300013</v>
      </c>
      <c r="O13" s="163">
        <f t="shared" si="0"/>
        <v>198000</v>
      </c>
    </row>
    <row r="14" spans="1:30" x14ac:dyDescent="0.25">
      <c r="A14" s="263"/>
      <c r="B14" s="164" t="s">
        <v>91</v>
      </c>
      <c r="C14" s="165">
        <v>908000</v>
      </c>
      <c r="D14" s="165">
        <v>0</v>
      </c>
      <c r="E14" s="165">
        <v>0</v>
      </c>
      <c r="F14" s="165">
        <f ca="1">+C14-D14-E14+F13</f>
        <v>1848400</v>
      </c>
      <c r="I14" s="166">
        <v>11</v>
      </c>
      <c r="J14" s="151">
        <v>1300014</v>
      </c>
      <c r="K14" s="160">
        <f>VENTAS!E27</f>
        <v>611000</v>
      </c>
      <c r="L14" s="161"/>
      <c r="M14" s="162"/>
      <c r="N14" s="154">
        <v>1300014</v>
      </c>
      <c r="O14" s="163"/>
    </row>
    <row r="15" spans="1:30" x14ac:dyDescent="0.25">
      <c r="A15" s="263"/>
      <c r="B15" s="164" t="s">
        <v>92</v>
      </c>
      <c r="C15" s="165">
        <v>0</v>
      </c>
      <c r="D15" s="165">
        <v>822000</v>
      </c>
      <c r="E15" s="165">
        <v>0</v>
      </c>
      <c r="F15" s="165">
        <f ca="1">+C15-D15-E15+F14</f>
        <v>1026400</v>
      </c>
      <c r="I15" s="159">
        <v>12</v>
      </c>
      <c r="J15" s="151">
        <v>1300015</v>
      </c>
      <c r="K15" s="160">
        <f>VENTAS!E28</f>
        <v>505500</v>
      </c>
      <c r="L15" s="161"/>
      <c r="M15" s="162"/>
      <c r="N15" s="154">
        <v>1300015</v>
      </c>
      <c r="O15" s="163">
        <f>+J15+K15-M15-N15</f>
        <v>505500</v>
      </c>
      <c r="AD15" s="193"/>
    </row>
    <row r="16" spans="1:30" x14ac:dyDescent="0.25">
      <c r="A16" s="263"/>
      <c r="B16" s="164" t="s">
        <v>160</v>
      </c>
      <c r="C16" s="165">
        <v>0</v>
      </c>
      <c r="D16" s="165">
        <v>700000</v>
      </c>
      <c r="E16" s="165">
        <v>0</v>
      </c>
      <c r="F16" s="165">
        <f ca="1">+C16-D16-E16+F15</f>
        <v>326400</v>
      </c>
      <c r="I16" s="166">
        <v>13</v>
      </c>
      <c r="J16" s="151">
        <v>1300016</v>
      </c>
      <c r="K16" s="160">
        <f>VENTAS!E29</f>
        <v>155000</v>
      </c>
      <c r="L16" s="161"/>
      <c r="M16" s="162"/>
      <c r="N16" s="154">
        <v>1300016</v>
      </c>
      <c r="O16" s="163"/>
      <c r="AD16" s="193"/>
    </row>
    <row r="17" spans="1:30" x14ac:dyDescent="0.25">
      <c r="A17" s="264"/>
      <c r="B17" s="133" t="s">
        <v>156</v>
      </c>
      <c r="C17" s="186">
        <f ca="1">+SUMIF(ACCESORIOS!C16:D26,ACCESORIOS!H2,ACCESORIOS!D16:D26)</f>
        <v>0</v>
      </c>
      <c r="D17" s="165">
        <v>0</v>
      </c>
      <c r="E17" s="165">
        <v>0</v>
      </c>
      <c r="F17" s="165">
        <f ca="1">+C17-D17-E17+F16</f>
        <v>326400</v>
      </c>
      <c r="I17" s="159">
        <v>14</v>
      </c>
      <c r="J17" s="151">
        <v>1300017</v>
      </c>
      <c r="K17" s="160">
        <f>VENTAS!E30</f>
        <v>660500</v>
      </c>
      <c r="L17" s="161"/>
      <c r="M17" s="162"/>
      <c r="N17" s="154">
        <v>1300017</v>
      </c>
      <c r="O17" s="163">
        <f>+J17+K17-M17-N17</f>
        <v>660500</v>
      </c>
      <c r="AD17" s="193" t="s">
        <v>85</v>
      </c>
    </row>
    <row r="18" spans="1:30" x14ac:dyDescent="0.25">
      <c r="A18" s="171" t="s">
        <v>58</v>
      </c>
      <c r="B18" s="169"/>
      <c r="C18" s="170">
        <f ca="1">SUM(C13:C17)</f>
        <v>1219000</v>
      </c>
      <c r="D18" s="170">
        <f>SUM(D13:D17)</f>
        <v>1522000</v>
      </c>
      <c r="E18" s="170">
        <f>SUM(E13:E17)</f>
        <v>0</v>
      </c>
      <c r="F18" s="170">
        <f ca="1">F17</f>
        <v>326400</v>
      </c>
      <c r="I18" s="166">
        <v>15</v>
      </c>
      <c r="J18" s="151">
        <v>1300018</v>
      </c>
      <c r="K18" s="160">
        <f>VENTAS!E31</f>
        <v>800000</v>
      </c>
      <c r="L18" s="161"/>
      <c r="M18" s="162"/>
      <c r="N18" s="154">
        <v>1300018</v>
      </c>
      <c r="O18" s="163">
        <f t="shared" si="0"/>
        <v>800000</v>
      </c>
      <c r="AD18" s="193" t="s">
        <v>86</v>
      </c>
    </row>
    <row r="19" spans="1:30" x14ac:dyDescent="0.25">
      <c r="A19" s="265">
        <v>3</v>
      </c>
      <c r="B19" s="164" t="s">
        <v>91</v>
      </c>
      <c r="C19" s="165">
        <v>363000</v>
      </c>
      <c r="D19" s="165">
        <v>0</v>
      </c>
      <c r="E19" s="165">
        <v>0</v>
      </c>
      <c r="F19" s="165">
        <f ca="1">+C19-D19-E19+F18</f>
        <v>689400</v>
      </c>
      <c r="I19" s="159">
        <v>16</v>
      </c>
      <c r="J19" s="151">
        <v>1300019</v>
      </c>
      <c r="K19" s="160">
        <f>VENTAS!E32</f>
        <v>253000</v>
      </c>
      <c r="L19" s="161"/>
      <c r="M19" s="162"/>
      <c r="N19" s="154">
        <v>1300019</v>
      </c>
      <c r="O19" s="163">
        <f t="shared" si="0"/>
        <v>253000</v>
      </c>
      <c r="AD19" s="193" t="s">
        <v>87</v>
      </c>
    </row>
    <row r="20" spans="1:30" x14ac:dyDescent="0.25">
      <c r="A20" s="266"/>
      <c r="B20" s="164" t="s">
        <v>91</v>
      </c>
      <c r="C20" s="165">
        <v>404000</v>
      </c>
      <c r="D20" s="165">
        <v>0</v>
      </c>
      <c r="E20" s="165">
        <v>0</v>
      </c>
      <c r="F20" s="165">
        <f ca="1">+C20-D20-E20+F19</f>
        <v>1093400</v>
      </c>
      <c r="I20" s="166">
        <v>17</v>
      </c>
      <c r="J20" s="151">
        <v>1300020</v>
      </c>
      <c r="K20" s="160">
        <f>VENTAS!E33</f>
        <v>1053000</v>
      </c>
      <c r="L20" s="161"/>
      <c r="M20" s="162"/>
      <c r="N20" s="154">
        <v>1300020</v>
      </c>
      <c r="O20" s="163"/>
      <c r="AD20" s="193" t="s">
        <v>88</v>
      </c>
    </row>
    <row r="21" spans="1:30" x14ac:dyDescent="0.25">
      <c r="A21" s="266"/>
      <c r="B21" s="164" t="s">
        <v>92</v>
      </c>
      <c r="C21" s="165">
        <v>0</v>
      </c>
      <c r="D21" s="165">
        <v>650600</v>
      </c>
      <c r="E21" s="165">
        <v>0</v>
      </c>
      <c r="F21" s="165">
        <f ca="1">+C21-D21-E21+F20</f>
        <v>442800</v>
      </c>
      <c r="I21" s="159">
        <v>18</v>
      </c>
      <c r="J21" s="151">
        <v>1300021</v>
      </c>
      <c r="K21" s="160">
        <f>VENTAS!E34</f>
        <v>770000</v>
      </c>
      <c r="L21" s="161"/>
      <c r="M21" s="162"/>
      <c r="N21" s="154">
        <v>1300021</v>
      </c>
      <c r="O21" s="163"/>
      <c r="AD21" s="193"/>
    </row>
    <row r="22" spans="1:30" x14ac:dyDescent="0.25">
      <c r="A22" s="266"/>
      <c r="B22" s="164"/>
      <c r="C22" s="165">
        <v>0</v>
      </c>
      <c r="D22" s="165">
        <v>0</v>
      </c>
      <c r="E22" s="165">
        <v>0</v>
      </c>
      <c r="F22" s="165">
        <f ca="1">+C22-D22-E22+F21</f>
        <v>442800</v>
      </c>
      <c r="I22" s="166">
        <v>19</v>
      </c>
      <c r="J22" s="151">
        <v>1300022</v>
      </c>
      <c r="K22" s="160">
        <f>VENTAS!E35</f>
        <v>209000</v>
      </c>
      <c r="L22" s="161"/>
      <c r="M22" s="162"/>
      <c r="N22" s="154">
        <v>1300022</v>
      </c>
      <c r="O22" s="163">
        <f t="shared" si="0"/>
        <v>209000</v>
      </c>
      <c r="AD22" s="193" t="s">
        <v>89</v>
      </c>
    </row>
    <row r="23" spans="1:30" x14ac:dyDescent="0.25">
      <c r="A23" s="267"/>
      <c r="B23" s="133" t="s">
        <v>156</v>
      </c>
      <c r="C23" s="186">
        <f ca="1">+SUMIF(ACCESORIOS!C29:D39,ACCESORIOS!H2,ACCESORIOS!D29:D39)</f>
        <v>0</v>
      </c>
      <c r="D23" s="165">
        <v>0</v>
      </c>
      <c r="E23" s="165">
        <v>0</v>
      </c>
      <c r="F23" s="165">
        <f ca="1">+C23-D23-E23+F22</f>
        <v>442800</v>
      </c>
      <c r="I23" s="159">
        <v>20</v>
      </c>
      <c r="J23" s="151">
        <v>1300023</v>
      </c>
      <c r="K23" s="160">
        <f>VENTAS!E36</f>
        <v>979000</v>
      </c>
      <c r="L23" s="161"/>
      <c r="M23" s="162"/>
      <c r="N23" s="154">
        <v>1300023</v>
      </c>
      <c r="O23" s="163">
        <f t="shared" si="0"/>
        <v>979000</v>
      </c>
      <c r="AD23" s="193" t="s">
        <v>90</v>
      </c>
    </row>
    <row r="24" spans="1:30" x14ac:dyDescent="0.25">
      <c r="A24" s="172" t="s">
        <v>58</v>
      </c>
      <c r="B24" s="169"/>
      <c r="C24" s="170">
        <f ca="1">SUM(C19:C23)</f>
        <v>767000</v>
      </c>
      <c r="D24" s="170">
        <f>SUM(D19:D23)</f>
        <v>650600</v>
      </c>
      <c r="E24" s="170">
        <f>SUM(E19:E23)</f>
        <v>0</v>
      </c>
      <c r="F24" s="170">
        <f ca="1">F23</f>
        <v>442800</v>
      </c>
      <c r="I24" s="166">
        <v>21</v>
      </c>
      <c r="J24" s="151">
        <v>1300024</v>
      </c>
      <c r="K24" s="160">
        <f>VENTAS!E37</f>
        <v>591000</v>
      </c>
      <c r="L24" s="161"/>
      <c r="M24" s="162"/>
      <c r="N24" s="154">
        <v>1300024</v>
      </c>
      <c r="O24" s="163">
        <f t="shared" si="0"/>
        <v>591000</v>
      </c>
      <c r="AD24" s="193" t="s">
        <v>160</v>
      </c>
    </row>
    <row r="25" spans="1:30" x14ac:dyDescent="0.25">
      <c r="A25" s="268">
        <v>4</v>
      </c>
      <c r="B25" s="164" t="s">
        <v>91</v>
      </c>
      <c r="C25" s="165">
        <v>161000</v>
      </c>
      <c r="D25" s="165">
        <v>0</v>
      </c>
      <c r="E25" s="165">
        <v>0</v>
      </c>
      <c r="F25" s="165">
        <f ca="1">+C25-D25-E25+F24</f>
        <v>603800</v>
      </c>
      <c r="I25" s="159">
        <v>22</v>
      </c>
      <c r="J25" s="151">
        <v>1300025</v>
      </c>
      <c r="K25" s="160">
        <f>VENTAS!E38</f>
        <v>224000</v>
      </c>
      <c r="L25" s="161"/>
      <c r="M25" s="162"/>
      <c r="N25" s="154">
        <v>1300025</v>
      </c>
      <c r="O25" s="163">
        <f t="shared" si="0"/>
        <v>224000</v>
      </c>
      <c r="AD25" s="193" t="s">
        <v>161</v>
      </c>
    </row>
    <row r="26" spans="1:30" x14ac:dyDescent="0.25">
      <c r="A26" s="269"/>
      <c r="B26" s="164" t="s">
        <v>91</v>
      </c>
      <c r="C26" s="165">
        <v>288000</v>
      </c>
      <c r="D26" s="165">
        <v>0</v>
      </c>
      <c r="E26" s="165">
        <v>0</v>
      </c>
      <c r="F26" s="165">
        <f ca="1">+C26-D26-E26+F25</f>
        <v>891800</v>
      </c>
      <c r="I26" s="166">
        <v>23</v>
      </c>
      <c r="J26" s="151">
        <v>1300026</v>
      </c>
      <c r="K26" s="160">
        <f>VENTAS!E39</f>
        <v>815000</v>
      </c>
      <c r="L26" s="161"/>
      <c r="M26" s="162"/>
      <c r="N26" s="154">
        <v>1300026</v>
      </c>
      <c r="O26" s="163"/>
      <c r="AD26" s="193" t="s">
        <v>162</v>
      </c>
    </row>
    <row r="27" spans="1:30" x14ac:dyDescent="0.25">
      <c r="A27" s="269"/>
      <c r="B27" s="164" t="s">
        <v>92</v>
      </c>
      <c r="C27" s="165">
        <v>0</v>
      </c>
      <c r="D27" s="165">
        <v>285750</v>
      </c>
      <c r="E27" s="165">
        <v>0</v>
      </c>
      <c r="F27" s="165">
        <f ca="1">+C27-D27-E27+F26</f>
        <v>606050</v>
      </c>
      <c r="I27" s="159">
        <v>24</v>
      </c>
      <c r="J27" s="151">
        <v>1300027</v>
      </c>
      <c r="K27" s="160">
        <f>VENTAS!E40</f>
        <v>610500</v>
      </c>
      <c r="L27" s="161"/>
      <c r="M27" s="162"/>
      <c r="N27" s="154">
        <v>1300027</v>
      </c>
      <c r="O27" s="163"/>
      <c r="AD27" s="193"/>
    </row>
    <row r="28" spans="1:30" x14ac:dyDescent="0.25">
      <c r="A28" s="269"/>
      <c r="B28" s="164" t="s">
        <v>161</v>
      </c>
      <c r="C28" s="165">
        <v>0</v>
      </c>
      <c r="D28" s="165">
        <f>406000+105000</f>
        <v>511000</v>
      </c>
      <c r="E28" s="165">
        <v>0</v>
      </c>
      <c r="F28" s="165">
        <f ca="1">+C28-D28-E28+F27</f>
        <v>95050</v>
      </c>
      <c r="I28" s="166">
        <v>25</v>
      </c>
      <c r="J28" s="151">
        <v>1300028</v>
      </c>
      <c r="K28" s="160">
        <f>VENTAS!E41</f>
        <v>183000</v>
      </c>
      <c r="L28" s="161"/>
      <c r="M28" s="162"/>
      <c r="N28" s="154">
        <v>1300028</v>
      </c>
      <c r="O28" s="163">
        <f t="shared" si="0"/>
        <v>183000</v>
      </c>
      <c r="AD28" s="193" t="s">
        <v>91</v>
      </c>
    </row>
    <row r="29" spans="1:30" x14ac:dyDescent="0.25">
      <c r="A29" s="270"/>
      <c r="B29" s="133" t="s">
        <v>156</v>
      </c>
      <c r="C29" s="186">
        <f ca="1">+SUMIF(ACCESORIOS!C42:D52,ACCESORIOS!H2,ACCESORIOS!D42:D52)</f>
        <v>0</v>
      </c>
      <c r="D29" s="165">
        <v>0</v>
      </c>
      <c r="E29" s="165">
        <v>0</v>
      </c>
      <c r="F29" s="165">
        <f ca="1">+C29-D29-E29+F28</f>
        <v>95050</v>
      </c>
      <c r="I29" s="159">
        <v>26</v>
      </c>
      <c r="J29" s="173">
        <v>1300000</v>
      </c>
      <c r="K29" s="174">
        <f>VENTAS!E82</f>
        <v>626000</v>
      </c>
      <c r="L29" s="175"/>
      <c r="M29" s="175"/>
      <c r="N29" s="154">
        <v>1300000</v>
      </c>
      <c r="O29" s="163">
        <f t="shared" si="0"/>
        <v>626000</v>
      </c>
      <c r="AD29" s="193" t="s">
        <v>92</v>
      </c>
    </row>
    <row r="30" spans="1:30" x14ac:dyDescent="0.25">
      <c r="A30" s="172" t="s">
        <v>58</v>
      </c>
      <c r="B30" s="169"/>
      <c r="C30" s="170">
        <f ca="1">SUM(C25:C29)</f>
        <v>449000</v>
      </c>
      <c r="D30" s="170">
        <f>SUM(D25:D29)</f>
        <v>796750</v>
      </c>
      <c r="E30" s="170">
        <f>SUM(E25:E29)</f>
        <v>0</v>
      </c>
      <c r="F30" s="170">
        <f ca="1">F29</f>
        <v>95050</v>
      </c>
      <c r="I30" s="166">
        <v>27</v>
      </c>
      <c r="J30" s="173">
        <v>1300001</v>
      </c>
      <c r="K30" s="174">
        <f>VENTAS!E83</f>
        <v>225000</v>
      </c>
      <c r="L30" s="175"/>
      <c r="M30" s="175"/>
      <c r="N30" s="154">
        <v>1300001</v>
      </c>
      <c r="O30" s="163">
        <f t="shared" si="0"/>
        <v>225000</v>
      </c>
      <c r="AD30" s="193" t="s">
        <v>157</v>
      </c>
    </row>
    <row r="31" spans="1:30" x14ac:dyDescent="0.25">
      <c r="A31" s="271">
        <v>5</v>
      </c>
      <c r="B31" s="164" t="s">
        <v>91</v>
      </c>
      <c r="C31" s="165">
        <f>35000+5000</f>
        <v>40000</v>
      </c>
      <c r="D31" s="165">
        <v>0</v>
      </c>
      <c r="E31" s="165">
        <v>0</v>
      </c>
      <c r="F31" s="165">
        <f ca="1">+C31-D31-E31+F30</f>
        <v>135050</v>
      </c>
      <c r="I31" s="159">
        <v>28</v>
      </c>
      <c r="J31" s="173">
        <v>1300002</v>
      </c>
      <c r="K31" s="174">
        <f>VENTAS!E84</f>
        <v>851000</v>
      </c>
      <c r="L31" s="175"/>
      <c r="M31" s="175"/>
      <c r="N31" s="154">
        <v>1300002</v>
      </c>
      <c r="O31" s="163">
        <f t="shared" si="0"/>
        <v>851000</v>
      </c>
      <c r="AD31" s="193" t="s">
        <v>156</v>
      </c>
    </row>
    <row r="32" spans="1:30" x14ac:dyDescent="0.25">
      <c r="A32" s="272"/>
      <c r="B32" s="164" t="s">
        <v>91</v>
      </c>
      <c r="C32" s="165">
        <v>253000</v>
      </c>
      <c r="D32" s="165">
        <v>0</v>
      </c>
      <c r="E32" s="165">
        <v>0</v>
      </c>
      <c r="F32" s="165">
        <f ca="1">+C32-D32-E32+F31</f>
        <v>388050</v>
      </c>
      <c r="I32" s="159">
        <v>29</v>
      </c>
      <c r="J32" s="173">
        <v>1300003</v>
      </c>
      <c r="K32" s="174">
        <f>VENTAS!E85</f>
        <v>404500</v>
      </c>
      <c r="L32" s="175"/>
      <c r="M32" s="175"/>
      <c r="N32" s="154">
        <v>1300003</v>
      </c>
      <c r="O32" s="163"/>
      <c r="AD32" s="193"/>
    </row>
    <row r="33" spans="1:30" x14ac:dyDescent="0.25">
      <c r="A33" s="272"/>
      <c r="B33" s="164" t="s">
        <v>92</v>
      </c>
      <c r="C33" s="165">
        <v>0</v>
      </c>
      <c r="D33" s="165">
        <v>169800</v>
      </c>
      <c r="E33" s="165">
        <v>0</v>
      </c>
      <c r="F33" s="165">
        <f ca="1">+C33-D33-E33+F32</f>
        <v>218250</v>
      </c>
      <c r="I33" s="166">
        <v>30</v>
      </c>
      <c r="J33" s="173">
        <v>1300004</v>
      </c>
      <c r="K33" s="174">
        <f>VENTAS!E86</f>
        <v>358000</v>
      </c>
      <c r="L33" s="175"/>
      <c r="M33" s="175"/>
      <c r="N33" s="154">
        <v>1300004</v>
      </c>
      <c r="O33" s="163"/>
      <c r="AD33" s="193"/>
    </row>
    <row r="34" spans="1:30" x14ac:dyDescent="0.25">
      <c r="A34" s="272"/>
      <c r="B34" s="164"/>
      <c r="C34" s="165">
        <v>0</v>
      </c>
      <c r="D34" s="165">
        <v>212650</v>
      </c>
      <c r="E34" s="165">
        <v>0</v>
      </c>
      <c r="F34" s="165">
        <f ca="1">+C34-D34-E34+F33</f>
        <v>5600</v>
      </c>
      <c r="I34" s="159">
        <v>31</v>
      </c>
      <c r="J34" s="173">
        <v>1300005</v>
      </c>
      <c r="K34" s="174">
        <f>VENTAS!E87</f>
        <v>762500</v>
      </c>
      <c r="L34" s="175"/>
      <c r="M34" s="175"/>
      <c r="N34" s="154">
        <v>1300005</v>
      </c>
      <c r="O34" s="163">
        <f t="shared" si="0"/>
        <v>762500</v>
      </c>
      <c r="AD34" s="193" t="s">
        <v>158</v>
      </c>
    </row>
    <row r="35" spans="1:30" x14ac:dyDescent="0.25">
      <c r="A35" s="273"/>
      <c r="B35" s="133" t="s">
        <v>156</v>
      </c>
      <c r="C35" s="186">
        <f ca="1">+SUMIF(ACCESORIOS!C55:D65,ACCESORIOS!H2,ACCESORIOS!D55:D65)</f>
        <v>0</v>
      </c>
      <c r="D35" s="165">
        <v>0</v>
      </c>
      <c r="E35" s="165">
        <v>0</v>
      </c>
      <c r="F35" s="165">
        <f ca="1">+C35-D35-E35+F34</f>
        <v>5600</v>
      </c>
      <c r="I35" s="176"/>
      <c r="J35" s="177"/>
      <c r="K35" s="178"/>
      <c r="L35" s="179"/>
      <c r="M35" s="179"/>
      <c r="N35" s="180"/>
      <c r="O35" s="163">
        <f t="shared" si="0"/>
        <v>0</v>
      </c>
      <c r="AD35" s="193" t="s">
        <v>159</v>
      </c>
    </row>
    <row r="36" spans="1:30" x14ac:dyDescent="0.25">
      <c r="A36" s="172" t="s">
        <v>58</v>
      </c>
      <c r="B36" s="169"/>
      <c r="C36" s="170">
        <f ca="1">SUM(C31:C35)</f>
        <v>293000</v>
      </c>
      <c r="D36" s="170">
        <f>SUM(D31:D35)</f>
        <v>382450</v>
      </c>
      <c r="E36" s="170">
        <f>SUM(E31:E35)</f>
        <v>0</v>
      </c>
      <c r="F36" s="170">
        <f ca="1">F35</f>
        <v>5600</v>
      </c>
      <c r="I36" s="176"/>
      <c r="J36" s="177"/>
      <c r="K36" s="178"/>
      <c r="L36" s="179"/>
      <c r="M36" s="179"/>
      <c r="N36" s="180"/>
      <c r="O36" s="163">
        <f t="shared" si="0"/>
        <v>0</v>
      </c>
      <c r="AD36" s="193"/>
    </row>
    <row r="37" spans="1:30" x14ac:dyDescent="0.25">
      <c r="A37" s="274">
        <v>6</v>
      </c>
      <c r="B37" s="164" t="s">
        <v>91</v>
      </c>
      <c r="C37" s="165">
        <v>168000</v>
      </c>
      <c r="D37" s="165">
        <v>0</v>
      </c>
      <c r="E37" s="165">
        <v>0</v>
      </c>
      <c r="F37" s="165">
        <f ca="1">+C37-D37-E37+F36</f>
        <v>173600</v>
      </c>
      <c r="I37" s="176"/>
      <c r="J37" s="177"/>
      <c r="K37" s="178"/>
      <c r="L37" s="179"/>
      <c r="M37" s="179"/>
      <c r="N37" s="180"/>
      <c r="O37" s="163">
        <f t="shared" si="0"/>
        <v>0</v>
      </c>
      <c r="AD37" s="193"/>
    </row>
    <row r="38" spans="1:30" x14ac:dyDescent="0.25">
      <c r="A38" s="275"/>
      <c r="B38" s="164" t="s">
        <v>91</v>
      </c>
      <c r="C38" s="165">
        <v>245000</v>
      </c>
      <c r="D38" s="165">
        <v>0</v>
      </c>
      <c r="E38" s="165">
        <v>0</v>
      </c>
      <c r="F38" s="165">
        <f ca="1">+C38-D38-E38+F37</f>
        <v>418600</v>
      </c>
      <c r="I38" s="176"/>
      <c r="J38" s="177"/>
      <c r="K38" s="178"/>
      <c r="L38" s="179"/>
      <c r="M38" s="179"/>
      <c r="N38" s="180"/>
      <c r="O38" s="181"/>
      <c r="AD38" s="193"/>
    </row>
    <row r="39" spans="1:30" x14ac:dyDescent="0.25">
      <c r="A39" s="275"/>
      <c r="B39" s="164" t="s">
        <v>92</v>
      </c>
      <c r="C39" s="165">
        <v>0</v>
      </c>
      <c r="D39" s="165">
        <v>231400</v>
      </c>
      <c r="E39" s="165">
        <v>0</v>
      </c>
      <c r="F39" s="165">
        <f ca="1">+C39-D39-E39+F38</f>
        <v>187200</v>
      </c>
      <c r="I39" s="176"/>
      <c r="J39" s="177"/>
      <c r="K39" s="178"/>
      <c r="L39" s="179"/>
      <c r="M39" s="179"/>
      <c r="N39" s="180"/>
      <c r="O39" s="181"/>
      <c r="AD39" s="193"/>
    </row>
    <row r="40" spans="1:30" x14ac:dyDescent="0.25">
      <c r="A40" s="275"/>
      <c r="B40" s="164"/>
      <c r="C40" s="165">
        <v>0</v>
      </c>
      <c r="D40" s="165">
        <v>187200</v>
      </c>
      <c r="E40" s="165">
        <v>0</v>
      </c>
      <c r="F40" s="165">
        <f ca="1">+C40-D40-E40+F39</f>
        <v>0</v>
      </c>
      <c r="I40" s="176"/>
      <c r="J40" s="177"/>
      <c r="K40" s="178"/>
      <c r="L40" s="179"/>
      <c r="M40" s="179"/>
      <c r="N40" s="177"/>
      <c r="O40" s="182"/>
      <c r="AD40" s="193"/>
    </row>
    <row r="41" spans="1:30" x14ac:dyDescent="0.25">
      <c r="A41" s="276"/>
      <c r="B41" s="133" t="s">
        <v>156</v>
      </c>
      <c r="C41" s="186">
        <f ca="1">+SUMIF(ACCESORIOS!C68:D78,ACCESORIOS!H2,ACCESORIOS!D68:D78)</f>
        <v>0</v>
      </c>
      <c r="D41" s="186">
        <v>0</v>
      </c>
      <c r="E41" s="165">
        <v>0</v>
      </c>
      <c r="F41" s="165">
        <f ca="1">+C41-D41-E41+F40</f>
        <v>0</v>
      </c>
      <c r="AD41" s="193"/>
    </row>
    <row r="42" spans="1:30" x14ac:dyDescent="0.25">
      <c r="A42" s="172" t="s">
        <v>58</v>
      </c>
      <c r="B42" s="169"/>
      <c r="C42" s="170">
        <f ca="1">SUM(C37:C41)</f>
        <v>413000</v>
      </c>
      <c r="D42" s="170">
        <f>SUM(D37:D41)</f>
        <v>418600</v>
      </c>
      <c r="E42" s="170">
        <f>SUM(E37:E41)</f>
        <v>0</v>
      </c>
      <c r="F42" s="170">
        <f ca="1">F41</f>
        <v>0</v>
      </c>
      <c r="K42" s="183"/>
      <c r="M42" s="183"/>
      <c r="O42" s="183"/>
      <c r="AD42" s="193"/>
    </row>
    <row r="43" spans="1:30" x14ac:dyDescent="0.25">
      <c r="A43" s="277">
        <v>7</v>
      </c>
      <c r="B43" s="164" t="s">
        <v>91</v>
      </c>
      <c r="C43" s="165">
        <v>142500</v>
      </c>
      <c r="D43" s="165">
        <v>0</v>
      </c>
      <c r="E43" s="165">
        <v>0</v>
      </c>
      <c r="F43" s="165">
        <f ca="1">+C43-D43-E43+F42</f>
        <v>142500</v>
      </c>
      <c r="L43" s="183"/>
      <c r="AD43" s="193"/>
    </row>
    <row r="44" spans="1:30" x14ac:dyDescent="0.25">
      <c r="A44" s="278"/>
      <c r="B44" s="164" t="s">
        <v>91</v>
      </c>
      <c r="C44" s="165">
        <v>363000</v>
      </c>
      <c r="D44" s="165">
        <v>0</v>
      </c>
      <c r="E44" s="165">
        <v>0</v>
      </c>
      <c r="F44" s="165">
        <f ca="1">+C44-D44-E44+F43</f>
        <v>505500</v>
      </c>
      <c r="L44" s="183"/>
      <c r="AD44" s="193"/>
    </row>
    <row r="45" spans="1:30" x14ac:dyDescent="0.25">
      <c r="A45" s="278"/>
      <c r="B45" s="164" t="s">
        <v>92</v>
      </c>
      <c r="C45" s="165">
        <v>0</v>
      </c>
      <c r="D45" s="165">
        <v>505500</v>
      </c>
      <c r="E45" s="165">
        <v>0</v>
      </c>
      <c r="F45" s="165">
        <f ca="1">+C45-D45-E45+F44</f>
        <v>0</v>
      </c>
      <c r="L45" s="183"/>
      <c r="AD45" s="193"/>
    </row>
    <row r="46" spans="1:30" x14ac:dyDescent="0.25">
      <c r="A46" s="278"/>
      <c r="B46" s="164"/>
      <c r="C46" s="165">
        <v>0</v>
      </c>
      <c r="D46" s="165">
        <v>0</v>
      </c>
      <c r="E46" s="165">
        <v>0</v>
      </c>
      <c r="F46" s="165">
        <f ca="1">+C46-D46-E46+F45</f>
        <v>0</v>
      </c>
      <c r="AD46" s="193"/>
    </row>
    <row r="47" spans="1:30" x14ac:dyDescent="0.25">
      <c r="A47" s="279"/>
      <c r="B47" s="133" t="s">
        <v>156</v>
      </c>
      <c r="C47" s="186">
        <f ca="1">+SUMIF(ACCESORIOS!C81:D91,ACCESORIOS!H2,ACCESORIOS!D81:D91)</f>
        <v>0</v>
      </c>
      <c r="D47" s="186">
        <v>0</v>
      </c>
      <c r="E47" s="165">
        <v>0</v>
      </c>
      <c r="F47" s="165">
        <f ca="1">+C47-D47-E47+F46</f>
        <v>0</v>
      </c>
      <c r="J47" s="183"/>
      <c r="AD47" s="193"/>
    </row>
    <row r="48" spans="1:30" x14ac:dyDescent="0.25">
      <c r="A48" s="172" t="s">
        <v>58</v>
      </c>
      <c r="B48" s="169"/>
      <c r="C48" s="170">
        <f ca="1">SUM(C43:C47)</f>
        <v>505500</v>
      </c>
      <c r="D48" s="170">
        <f>SUM(D43:D47)</f>
        <v>505500</v>
      </c>
      <c r="E48" s="170">
        <f>SUM(E43:E47)</f>
        <v>0</v>
      </c>
      <c r="F48" s="170">
        <f ca="1">F47</f>
        <v>0</v>
      </c>
      <c r="AD48" s="193"/>
    </row>
    <row r="49" spans="1:30" x14ac:dyDescent="0.25">
      <c r="A49" s="280">
        <v>8</v>
      </c>
      <c r="B49" s="164" t="s">
        <v>91</v>
      </c>
      <c r="C49" s="165">
        <v>252000</v>
      </c>
      <c r="D49" s="165">
        <v>0</v>
      </c>
      <c r="E49" s="165">
        <v>0</v>
      </c>
      <c r="F49" s="165">
        <f ca="1">+C49-D49-E49+F48</f>
        <v>252000</v>
      </c>
      <c r="AD49" s="193"/>
    </row>
    <row r="50" spans="1:30" x14ac:dyDescent="0.25">
      <c r="A50" s="281"/>
      <c r="B50" s="164" t="s">
        <v>91</v>
      </c>
      <c r="C50" s="165">
        <v>548000</v>
      </c>
      <c r="D50" s="165"/>
      <c r="E50" s="165">
        <v>0</v>
      </c>
      <c r="F50" s="165">
        <f ca="1">+C50-D50-E50+F49</f>
        <v>800000</v>
      </c>
      <c r="AD50" s="193"/>
    </row>
    <row r="51" spans="1:30" x14ac:dyDescent="0.25">
      <c r="A51" s="281"/>
      <c r="B51" s="164" t="s">
        <v>92</v>
      </c>
      <c r="C51" s="165">
        <v>0</v>
      </c>
      <c r="D51" s="165">
        <v>673600</v>
      </c>
      <c r="E51" s="165">
        <v>0</v>
      </c>
      <c r="F51" s="165">
        <f ca="1">+C51-D51-E51+F50</f>
        <v>126400</v>
      </c>
      <c r="AD51" s="193"/>
    </row>
    <row r="52" spans="1:30" x14ac:dyDescent="0.25">
      <c r="A52" s="281"/>
      <c r="B52" s="164"/>
      <c r="C52" s="165">
        <v>28500</v>
      </c>
      <c r="D52" s="165">
        <v>0</v>
      </c>
      <c r="E52" s="165">
        <v>0</v>
      </c>
      <c r="F52" s="165">
        <f ca="1">+C52-D52-E52+F51</f>
        <v>154900</v>
      </c>
      <c r="J52" s="183"/>
      <c r="AD52" s="193"/>
    </row>
    <row r="53" spans="1:30" x14ac:dyDescent="0.25">
      <c r="A53" s="282"/>
      <c r="B53" s="133" t="s">
        <v>156</v>
      </c>
      <c r="C53" s="186">
        <f ca="1">+SUMIF(ACCESORIOS!C94:D104,ACCESORIOS!H2,ACCESORIOS!D94:D104)</f>
        <v>24000</v>
      </c>
      <c r="D53" s="186">
        <v>0</v>
      </c>
      <c r="E53" s="165">
        <v>0</v>
      </c>
      <c r="F53" s="165">
        <f ca="1">+C53-D53-E53+F52</f>
        <v>178900</v>
      </c>
      <c r="J53" s="183"/>
      <c r="AD53" s="193"/>
    </row>
    <row r="54" spans="1:30" x14ac:dyDescent="0.25">
      <c r="A54" s="172" t="s">
        <v>58</v>
      </c>
      <c r="B54" s="169"/>
      <c r="C54" s="170">
        <f ca="1">SUM(C49:C53)</f>
        <v>852500</v>
      </c>
      <c r="D54" s="170">
        <f>SUM(D49:D53)</f>
        <v>673600</v>
      </c>
      <c r="E54" s="170">
        <f>SUM(E49:E53)</f>
        <v>0</v>
      </c>
      <c r="F54" s="170">
        <f ca="1">F53</f>
        <v>178900</v>
      </c>
      <c r="AD54" s="193"/>
    </row>
    <row r="55" spans="1:30" x14ac:dyDescent="0.25">
      <c r="A55" s="283">
        <v>9</v>
      </c>
      <c r="B55" s="164" t="s">
        <v>91</v>
      </c>
      <c r="C55" s="165">
        <v>214000</v>
      </c>
      <c r="D55" s="165">
        <v>0</v>
      </c>
      <c r="E55" s="165">
        <v>0</v>
      </c>
      <c r="F55" s="165">
        <f ca="1">+C55-D55-E55+F54</f>
        <v>392900</v>
      </c>
      <c r="AD55" s="193"/>
    </row>
    <row r="56" spans="1:30" x14ac:dyDescent="0.25">
      <c r="A56" s="284"/>
      <c r="B56" s="164" t="s">
        <v>91</v>
      </c>
      <c r="C56" s="165">
        <v>556000</v>
      </c>
      <c r="D56" s="165">
        <v>0</v>
      </c>
      <c r="E56" s="165">
        <v>0</v>
      </c>
      <c r="F56" s="165">
        <f ca="1">+C56-D56-E56+F55</f>
        <v>948900</v>
      </c>
      <c r="AD56" s="193"/>
    </row>
    <row r="57" spans="1:30" x14ac:dyDescent="0.25">
      <c r="A57" s="284"/>
      <c r="B57" s="164" t="s">
        <v>92</v>
      </c>
      <c r="C57" s="165">
        <v>0</v>
      </c>
      <c r="D57" s="165">
        <v>532200</v>
      </c>
      <c r="E57" s="165">
        <v>0</v>
      </c>
      <c r="F57" s="165">
        <f ca="1">+C57-D57-E57+F56</f>
        <v>416700</v>
      </c>
      <c r="AD57" s="193"/>
    </row>
    <row r="58" spans="1:30" x14ac:dyDescent="0.25">
      <c r="A58" s="284"/>
      <c r="B58" s="164"/>
      <c r="C58" s="165">
        <v>100</v>
      </c>
      <c r="D58" s="165">
        <v>0</v>
      </c>
      <c r="E58" s="165">
        <v>0</v>
      </c>
      <c r="F58" s="165">
        <f ca="1">+C58-D58-E58+F57</f>
        <v>416800</v>
      </c>
      <c r="AD58" s="193"/>
    </row>
    <row r="59" spans="1:30" x14ac:dyDescent="0.25">
      <c r="A59" s="285"/>
      <c r="B59" s="133" t="s">
        <v>156</v>
      </c>
      <c r="C59" s="186">
        <f ca="1">+SUMIF(ACCESORIOS!C107:D117,ACCESORIOS!H2,ACCESORIOS!D107:D117)</f>
        <v>28000</v>
      </c>
      <c r="D59" s="186">
        <v>0</v>
      </c>
      <c r="E59" s="165">
        <v>0</v>
      </c>
      <c r="F59" s="165">
        <f ca="1">+C59-D59-E59+F58</f>
        <v>444800</v>
      </c>
      <c r="AD59" s="193"/>
    </row>
    <row r="60" spans="1:30" x14ac:dyDescent="0.25">
      <c r="A60" s="172" t="s">
        <v>58</v>
      </c>
      <c r="B60" s="169"/>
      <c r="C60" s="170">
        <f ca="1">SUM(C55:C59)</f>
        <v>798100</v>
      </c>
      <c r="D60" s="170">
        <f>SUM(D55:D59)</f>
        <v>532200</v>
      </c>
      <c r="E60" s="170">
        <f>SUM(E55:E59)</f>
        <v>0</v>
      </c>
      <c r="F60" s="170">
        <f ca="1">F59</f>
        <v>444800</v>
      </c>
      <c r="AD60" s="193"/>
    </row>
    <row r="61" spans="1:30" x14ac:dyDescent="0.25">
      <c r="A61" s="286">
        <v>10</v>
      </c>
      <c r="B61" s="164" t="s">
        <v>91</v>
      </c>
      <c r="C61" s="165">
        <v>173000</v>
      </c>
      <c r="D61" s="165">
        <v>0</v>
      </c>
      <c r="E61" s="165">
        <v>0</v>
      </c>
      <c r="F61" s="165">
        <f t="shared" ref="F61:F66" ca="1" si="1">+C61-D61-E61+F60</f>
        <v>617800</v>
      </c>
      <c r="AD61" s="193"/>
    </row>
    <row r="62" spans="1:30" x14ac:dyDescent="0.25">
      <c r="A62" s="287"/>
      <c r="B62" s="164" t="s">
        <v>91</v>
      </c>
      <c r="C62" s="165">
        <v>418000</v>
      </c>
      <c r="D62" s="165">
        <v>0</v>
      </c>
      <c r="E62" s="165">
        <v>0</v>
      </c>
      <c r="F62" s="165">
        <f t="shared" ca="1" si="1"/>
        <v>1035800</v>
      </c>
      <c r="AD62" s="193"/>
    </row>
    <row r="63" spans="1:30" x14ac:dyDescent="0.25">
      <c r="A63" s="287"/>
      <c r="B63" s="164" t="s">
        <v>92</v>
      </c>
      <c r="C63" s="165">
        <v>0</v>
      </c>
      <c r="D63" s="165">
        <v>492900</v>
      </c>
      <c r="E63" s="165">
        <v>0</v>
      </c>
      <c r="F63" s="165">
        <f t="shared" ca="1" si="1"/>
        <v>542900</v>
      </c>
      <c r="AD63" s="193"/>
    </row>
    <row r="64" spans="1:30" x14ac:dyDescent="0.25">
      <c r="A64" s="287"/>
      <c r="B64" s="164" t="s">
        <v>161</v>
      </c>
      <c r="C64" s="165"/>
      <c r="D64" s="165">
        <v>110000</v>
      </c>
      <c r="E64" s="165">
        <v>0</v>
      </c>
      <c r="F64" s="165">
        <f t="shared" ca="1" si="1"/>
        <v>432900</v>
      </c>
      <c r="J64" s="183"/>
      <c r="AD64" s="193"/>
    </row>
    <row r="65" spans="1:30" x14ac:dyDescent="0.25">
      <c r="A65" s="287"/>
      <c r="B65" s="165" t="s">
        <v>192</v>
      </c>
      <c r="C65" s="165">
        <v>77100</v>
      </c>
      <c r="D65" s="165"/>
      <c r="E65" s="165"/>
      <c r="F65" s="165">
        <f t="shared" ca="1" si="1"/>
        <v>510000</v>
      </c>
      <c r="J65" s="183"/>
      <c r="AD65" s="193"/>
    </row>
    <row r="66" spans="1:30" x14ac:dyDescent="0.25">
      <c r="A66" s="288"/>
      <c r="B66" s="133" t="s">
        <v>156</v>
      </c>
      <c r="C66" s="186">
        <f ca="1">+SUMIF(ACCESORIOS!C120:D130,ACCESORIOS!H2,ACCESORIOS!D120:D130)</f>
        <v>0</v>
      </c>
      <c r="D66" s="186">
        <v>0</v>
      </c>
      <c r="E66" s="165">
        <v>0</v>
      </c>
      <c r="F66" s="165">
        <f t="shared" ca="1" si="1"/>
        <v>510000</v>
      </c>
      <c r="J66" s="183"/>
      <c r="AD66" s="193"/>
    </row>
    <row r="67" spans="1:30" x14ac:dyDescent="0.25">
      <c r="A67" s="172" t="s">
        <v>58</v>
      </c>
      <c r="B67" s="169"/>
      <c r="C67" s="170">
        <f ca="1">SUM(C61:C66)</f>
        <v>668100</v>
      </c>
      <c r="D67" s="170">
        <f>SUM(D61:D66)</f>
        <v>602900</v>
      </c>
      <c r="E67" s="170">
        <f>SUM(E61:E66)</f>
        <v>0</v>
      </c>
      <c r="F67" s="170">
        <f ca="1">F66</f>
        <v>510000</v>
      </c>
      <c r="J67" s="183"/>
      <c r="AD67" s="193"/>
    </row>
    <row r="68" spans="1:30" x14ac:dyDescent="0.25">
      <c r="A68" s="259">
        <v>11</v>
      </c>
      <c r="B68" s="164" t="s">
        <v>91</v>
      </c>
      <c r="C68" s="165">
        <v>213500</v>
      </c>
      <c r="D68" s="165">
        <v>0</v>
      </c>
      <c r="E68" s="165">
        <v>0</v>
      </c>
      <c r="F68" s="165">
        <f ca="1">+C68-D68-E68+F67</f>
        <v>723500</v>
      </c>
    </row>
    <row r="69" spans="1:30" x14ac:dyDescent="0.25">
      <c r="A69" s="260"/>
      <c r="B69" s="164" t="s">
        <v>91</v>
      </c>
      <c r="C69" s="165">
        <v>397000</v>
      </c>
      <c r="D69" s="165">
        <v>0</v>
      </c>
      <c r="E69" s="165">
        <v>0</v>
      </c>
      <c r="F69" s="165">
        <f ca="1">+C69-D69-E69+F68</f>
        <v>1120500</v>
      </c>
    </row>
    <row r="70" spans="1:30" x14ac:dyDescent="0.25">
      <c r="A70" s="260"/>
      <c r="B70" s="164" t="s">
        <v>92</v>
      </c>
      <c r="C70" s="165">
        <v>0</v>
      </c>
      <c r="D70" s="165">
        <v>559200</v>
      </c>
      <c r="E70" s="165">
        <v>0</v>
      </c>
      <c r="F70" s="165">
        <f ca="1">+C70-D70-E70+F69</f>
        <v>561300</v>
      </c>
    </row>
    <row r="71" spans="1:30" x14ac:dyDescent="0.25">
      <c r="A71" s="260"/>
      <c r="B71" s="164"/>
      <c r="C71" s="165">
        <v>0</v>
      </c>
      <c r="D71" s="165">
        <v>293600</v>
      </c>
      <c r="E71" s="165">
        <v>0</v>
      </c>
      <c r="F71" s="165">
        <f ca="1">+C71-D71-E71+F70</f>
        <v>267700</v>
      </c>
    </row>
    <row r="72" spans="1:30" x14ac:dyDescent="0.25">
      <c r="A72" s="261"/>
      <c r="B72" s="133" t="s">
        <v>156</v>
      </c>
      <c r="C72" s="186">
        <f ca="1">+SUMIF(ACCESORIOS!C133:D143,ACCESORIOS!H2,ACCESORIOS!D133:D143)</f>
        <v>0</v>
      </c>
      <c r="D72" s="186">
        <v>0</v>
      </c>
      <c r="E72" s="165">
        <v>0</v>
      </c>
      <c r="F72" s="165">
        <f ca="1">+C72-D72-E72+F71</f>
        <v>267700</v>
      </c>
    </row>
    <row r="73" spans="1:30" x14ac:dyDescent="0.25">
      <c r="A73" s="172" t="s">
        <v>58</v>
      </c>
      <c r="B73" s="169"/>
      <c r="C73" s="170">
        <f ca="1">SUM(C68:C72)</f>
        <v>610500</v>
      </c>
      <c r="D73" s="170">
        <f>SUM(D68:D72)</f>
        <v>852800</v>
      </c>
      <c r="E73" s="170">
        <f>SUM(E68:E72)</f>
        <v>0</v>
      </c>
      <c r="F73" s="170">
        <f ca="1">F72</f>
        <v>267700</v>
      </c>
    </row>
    <row r="74" spans="1:30" x14ac:dyDescent="0.25">
      <c r="A74" s="307">
        <v>12</v>
      </c>
      <c r="B74" s="164" t="s">
        <v>91</v>
      </c>
      <c r="C74" s="165">
        <v>231000</v>
      </c>
      <c r="D74" s="165">
        <v>0</v>
      </c>
      <c r="E74" s="165">
        <v>0</v>
      </c>
      <c r="F74" s="165">
        <f ca="1">+C74-D74-E74+F73</f>
        <v>498700</v>
      </c>
      <c r="J74" s="183"/>
    </row>
    <row r="75" spans="1:30" x14ac:dyDescent="0.25">
      <c r="A75" s="308"/>
      <c r="B75" s="164" t="s">
        <v>91</v>
      </c>
      <c r="C75" s="165">
        <v>405000</v>
      </c>
      <c r="D75" s="165">
        <v>0</v>
      </c>
      <c r="E75" s="165">
        <v>0</v>
      </c>
      <c r="F75" s="165">
        <f ca="1">+C75-D75-E75+F74</f>
        <v>903700</v>
      </c>
      <c r="J75" s="183"/>
    </row>
    <row r="76" spans="1:30" x14ac:dyDescent="0.25">
      <c r="A76" s="308"/>
      <c r="B76" s="164" t="s">
        <v>92</v>
      </c>
      <c r="C76" s="165">
        <v>0</v>
      </c>
      <c r="D76" s="165">
        <v>511500</v>
      </c>
      <c r="E76" s="165">
        <v>0</v>
      </c>
      <c r="F76" s="165">
        <f ca="1">+C76-D76-E76+F75</f>
        <v>392200</v>
      </c>
      <c r="J76" s="183"/>
    </row>
    <row r="77" spans="1:30" x14ac:dyDescent="0.25">
      <c r="A77" s="308"/>
      <c r="B77" s="164"/>
      <c r="C77" s="165">
        <v>0</v>
      </c>
      <c r="D77" s="165">
        <v>0</v>
      </c>
      <c r="E77" s="165">
        <v>0</v>
      </c>
      <c r="F77" s="165">
        <f ca="1">+C77-D77-E77+F76</f>
        <v>392200</v>
      </c>
    </row>
    <row r="78" spans="1:30" x14ac:dyDescent="0.25">
      <c r="A78" s="309"/>
      <c r="B78" s="133" t="s">
        <v>156</v>
      </c>
      <c r="C78" s="186">
        <f ca="1">+SUMIF(ACCESORIOS!C146:D156,ACCESORIOS!H2,ACCESORIOS!D146:D156)</f>
        <v>0</v>
      </c>
      <c r="D78" s="186">
        <v>0</v>
      </c>
      <c r="E78" s="165">
        <v>0</v>
      </c>
      <c r="F78" s="165">
        <f ca="1">+C78-D78-E78+F77</f>
        <v>392200</v>
      </c>
    </row>
    <row r="79" spans="1:30" x14ac:dyDescent="0.25">
      <c r="A79" s="172" t="s">
        <v>58</v>
      </c>
      <c r="B79" s="169"/>
      <c r="C79" s="170">
        <f ca="1">SUM(C74:C78)</f>
        <v>636000</v>
      </c>
      <c r="D79" s="170">
        <f>SUM(D74:D78)</f>
        <v>511500</v>
      </c>
      <c r="E79" s="170">
        <f>SUM(E74:E78)</f>
        <v>0</v>
      </c>
      <c r="F79" s="170">
        <f ca="1">F78</f>
        <v>392200</v>
      </c>
    </row>
    <row r="80" spans="1:30" x14ac:dyDescent="0.25">
      <c r="A80" s="280">
        <v>13</v>
      </c>
      <c r="B80" s="164" t="s">
        <v>91</v>
      </c>
      <c r="C80" s="165">
        <v>237000</v>
      </c>
      <c r="D80" s="165">
        <v>0</v>
      </c>
      <c r="E80" s="165">
        <v>0</v>
      </c>
      <c r="F80" s="165">
        <f ca="1">+C80-D80-E80+F79</f>
        <v>629200</v>
      </c>
      <c r="J80" s="183"/>
    </row>
    <row r="81" spans="1:14" x14ac:dyDescent="0.25">
      <c r="A81" s="281"/>
      <c r="B81" s="164" t="s">
        <v>91</v>
      </c>
      <c r="C81" s="165">
        <v>414400</v>
      </c>
      <c r="D81" s="165">
        <v>0</v>
      </c>
      <c r="E81" s="165">
        <v>0</v>
      </c>
      <c r="F81" s="165">
        <f ca="1">+C81-D81-E81+F80</f>
        <v>1043600</v>
      </c>
      <c r="J81" s="183"/>
    </row>
    <row r="82" spans="1:14" x14ac:dyDescent="0.25">
      <c r="A82" s="281"/>
      <c r="B82" s="164" t="s">
        <v>92</v>
      </c>
      <c r="C82" s="165">
        <v>0</v>
      </c>
      <c r="D82" s="165">
        <v>310400</v>
      </c>
      <c r="E82" s="165">
        <v>0</v>
      </c>
      <c r="F82" s="165">
        <f ca="1">+C82-D82-E82+F81</f>
        <v>733200</v>
      </c>
      <c r="J82" s="183"/>
    </row>
    <row r="83" spans="1:14" x14ac:dyDescent="0.25">
      <c r="A83" s="281"/>
      <c r="B83" s="164"/>
      <c r="C83" s="165">
        <v>0</v>
      </c>
      <c r="D83" s="165">
        <v>0</v>
      </c>
      <c r="E83" s="165">
        <v>0</v>
      </c>
      <c r="F83" s="165">
        <f ca="1">+C83-D83-E83+F82</f>
        <v>733200</v>
      </c>
    </row>
    <row r="84" spans="1:14" x14ac:dyDescent="0.25">
      <c r="A84" s="282"/>
      <c r="B84" s="133" t="s">
        <v>156</v>
      </c>
      <c r="C84" s="186">
        <f ca="1">+SUMIF(ACCESORIOS!C159:D169,ACCESORIOS!H2,ACCESORIOS!D159:D169)</f>
        <v>0</v>
      </c>
      <c r="D84" s="186">
        <v>0</v>
      </c>
      <c r="E84" s="165">
        <v>0</v>
      </c>
      <c r="F84" s="165">
        <f ca="1">+C84-D84-E84+F83</f>
        <v>733200</v>
      </c>
      <c r="H84" s="216"/>
    </row>
    <row r="85" spans="1:14" x14ac:dyDescent="0.25">
      <c r="A85" s="172" t="s">
        <v>58</v>
      </c>
      <c r="B85" s="169"/>
      <c r="C85" s="170">
        <f ca="1">SUM(C80:C84)</f>
        <v>651400</v>
      </c>
      <c r="D85" s="170">
        <f>SUM(D80:D84)</f>
        <v>310400</v>
      </c>
      <c r="E85" s="170">
        <f>SUM(E80:E84)</f>
        <v>0</v>
      </c>
      <c r="F85" s="170">
        <f ca="1">F84</f>
        <v>733200</v>
      </c>
    </row>
    <row r="86" spans="1:14" x14ac:dyDescent="0.25">
      <c r="A86" s="283">
        <v>14</v>
      </c>
      <c r="B86" s="164" t="s">
        <v>91</v>
      </c>
      <c r="C86" s="165">
        <v>152000</v>
      </c>
      <c r="D86" s="165">
        <v>0</v>
      </c>
      <c r="E86" s="165">
        <v>0</v>
      </c>
      <c r="F86" s="165">
        <f ca="1">+C86-D86-E86+F85</f>
        <v>885200</v>
      </c>
      <c r="J86" s="183"/>
    </row>
    <row r="87" spans="1:14" x14ac:dyDescent="0.25">
      <c r="A87" s="284"/>
      <c r="B87" s="164" t="s">
        <v>91</v>
      </c>
      <c r="C87" s="165">
        <v>157000</v>
      </c>
      <c r="D87" s="165">
        <v>0</v>
      </c>
      <c r="E87" s="165">
        <v>0</v>
      </c>
      <c r="F87" s="165">
        <f ca="1">+C87-D87-E87+F86</f>
        <v>1042200</v>
      </c>
      <c r="J87" s="183"/>
    </row>
    <row r="88" spans="1:14" x14ac:dyDescent="0.25">
      <c r="A88" s="284"/>
      <c r="B88" s="164" t="s">
        <v>92</v>
      </c>
      <c r="C88" s="165">
        <v>0</v>
      </c>
      <c r="D88" s="165">
        <v>582800</v>
      </c>
      <c r="E88" s="165">
        <v>0</v>
      </c>
      <c r="F88" s="165">
        <f ca="1">+C88-D88-E88+F87</f>
        <v>459400</v>
      </c>
      <c r="J88" s="183"/>
    </row>
    <row r="89" spans="1:14" x14ac:dyDescent="0.25">
      <c r="A89" s="284"/>
      <c r="B89" s="164"/>
      <c r="C89" s="165">
        <v>0</v>
      </c>
      <c r="D89" s="165">
        <v>289200</v>
      </c>
      <c r="E89" s="165">
        <v>0</v>
      </c>
      <c r="F89" s="165">
        <f ca="1">+C89-D89-E89+F88</f>
        <v>170200</v>
      </c>
    </row>
    <row r="90" spans="1:14" x14ac:dyDescent="0.25">
      <c r="A90" s="285"/>
      <c r="B90" s="133" t="s">
        <v>156</v>
      </c>
      <c r="C90" s="186">
        <f ca="1">+SUMIF(ACCESORIOS!C172:D182,ACCESORIOS!H2,ACCESORIOS!D172:D182)</f>
        <v>0</v>
      </c>
      <c r="D90" s="186">
        <v>0</v>
      </c>
      <c r="E90" s="165">
        <v>0</v>
      </c>
      <c r="F90" s="165">
        <f ca="1">+C90-D90-E90+F89</f>
        <v>170200</v>
      </c>
    </row>
    <row r="91" spans="1:14" x14ac:dyDescent="0.25">
      <c r="A91" s="172" t="s">
        <v>58</v>
      </c>
      <c r="B91" s="169"/>
      <c r="C91" s="170">
        <f ca="1">SUM(C86:C90)</f>
        <v>309000</v>
      </c>
      <c r="D91" s="170">
        <f>SUM(D86:D90)</f>
        <v>872000</v>
      </c>
      <c r="E91" s="170">
        <f>SUM(E86:E90)</f>
        <v>0</v>
      </c>
      <c r="F91" s="170">
        <f ca="1">F90</f>
        <v>170200</v>
      </c>
      <c r="N91" s="183"/>
    </row>
    <row r="92" spans="1:14" x14ac:dyDescent="0.25">
      <c r="A92" s="277">
        <v>15</v>
      </c>
      <c r="B92" s="164" t="s">
        <v>91</v>
      </c>
      <c r="C92" s="165">
        <v>236000</v>
      </c>
      <c r="D92" s="165">
        <v>0</v>
      </c>
      <c r="E92" s="165">
        <v>0</v>
      </c>
      <c r="F92" s="165">
        <f ca="1">+C92-D92-E92+F91</f>
        <v>406200</v>
      </c>
      <c r="J92" s="183"/>
    </row>
    <row r="93" spans="1:14" x14ac:dyDescent="0.25">
      <c r="A93" s="278"/>
      <c r="B93" s="164" t="s">
        <v>91</v>
      </c>
      <c r="C93" s="165">
        <v>561000</v>
      </c>
      <c r="D93" s="165">
        <v>0</v>
      </c>
      <c r="E93" s="165">
        <v>0</v>
      </c>
      <c r="F93" s="165">
        <f ca="1">+C93-D93-E93+F92</f>
        <v>967200</v>
      </c>
      <c r="J93" s="183"/>
    </row>
    <row r="94" spans="1:14" x14ac:dyDescent="0.25">
      <c r="A94" s="278"/>
      <c r="B94" s="164" t="s">
        <v>92</v>
      </c>
      <c r="C94" s="165">
        <v>0</v>
      </c>
      <c r="D94" s="165">
        <v>430300</v>
      </c>
      <c r="E94" s="165">
        <v>0</v>
      </c>
      <c r="F94" s="165">
        <f ca="1">+C94-D94-E94+F93</f>
        <v>536900</v>
      </c>
      <c r="J94" s="183"/>
    </row>
    <row r="95" spans="1:14" x14ac:dyDescent="0.25">
      <c r="A95" s="278"/>
      <c r="B95" s="164"/>
      <c r="C95" s="165">
        <v>0</v>
      </c>
      <c r="D95" s="165">
        <v>0</v>
      </c>
      <c r="E95" s="165">
        <v>0</v>
      </c>
      <c r="F95" s="165">
        <f ca="1">+C95-D95-E95+F94</f>
        <v>536900</v>
      </c>
    </row>
    <row r="96" spans="1:14" x14ac:dyDescent="0.25">
      <c r="A96" s="279"/>
      <c r="B96" s="133" t="s">
        <v>156</v>
      </c>
      <c r="C96" s="186">
        <f ca="1">+SUMIF(ACCESORIOS!C185:D195,ACCESORIOS!H2,ACCESORIOS!D185:D195)</f>
        <v>0</v>
      </c>
      <c r="D96" s="186">
        <v>0</v>
      </c>
      <c r="E96" s="165">
        <v>0</v>
      </c>
      <c r="F96" s="165">
        <f ca="1">+C96-D96-E96+F95</f>
        <v>536900</v>
      </c>
    </row>
    <row r="97" spans="1:11" x14ac:dyDescent="0.25">
      <c r="A97" s="172" t="s">
        <v>58</v>
      </c>
      <c r="B97" s="169"/>
      <c r="C97" s="170">
        <f ca="1">SUM(C92:C96)</f>
        <v>797000</v>
      </c>
      <c r="D97" s="170">
        <f>SUM(D92:D96)</f>
        <v>430300</v>
      </c>
      <c r="E97" s="170">
        <f>SUM(E92:E96)</f>
        <v>0</v>
      </c>
      <c r="F97" s="170">
        <f ca="1">F96</f>
        <v>536900</v>
      </c>
      <c r="J97" s="183"/>
    </row>
    <row r="98" spans="1:11" x14ac:dyDescent="0.25">
      <c r="A98" s="268">
        <v>16</v>
      </c>
      <c r="B98" s="164" t="s">
        <v>91</v>
      </c>
      <c r="C98" s="165">
        <v>59000</v>
      </c>
      <c r="D98" s="165">
        <v>0</v>
      </c>
      <c r="E98" s="165">
        <v>0</v>
      </c>
      <c r="F98" s="165">
        <f ca="1">+C98-D98-E98+F97</f>
        <v>595900</v>
      </c>
    </row>
    <row r="99" spans="1:11" x14ac:dyDescent="0.25">
      <c r="A99" s="269"/>
      <c r="B99" s="164" t="s">
        <v>91</v>
      </c>
      <c r="C99" s="165">
        <v>820000</v>
      </c>
      <c r="D99" s="165">
        <v>0</v>
      </c>
      <c r="E99" s="165">
        <v>0</v>
      </c>
      <c r="F99" s="165">
        <f ca="1">+C99-D99-E99+F98</f>
        <v>1415900</v>
      </c>
    </row>
    <row r="100" spans="1:11" x14ac:dyDescent="0.25">
      <c r="A100" s="269"/>
      <c r="B100" s="164" t="s">
        <v>92</v>
      </c>
      <c r="C100" s="165">
        <v>0</v>
      </c>
      <c r="D100" s="165">
        <v>486600</v>
      </c>
      <c r="E100" s="165">
        <v>0</v>
      </c>
      <c r="F100" s="165">
        <f ca="1">+C100-D100-E100+F99</f>
        <v>929300</v>
      </c>
    </row>
    <row r="101" spans="1:11" x14ac:dyDescent="0.25">
      <c r="A101" s="269"/>
      <c r="B101" s="164"/>
      <c r="C101" s="165">
        <v>0</v>
      </c>
      <c r="D101" s="165">
        <v>0</v>
      </c>
      <c r="E101" s="165">
        <v>0</v>
      </c>
      <c r="F101" s="165">
        <f ca="1">+C101-D101-E101+F100</f>
        <v>929300</v>
      </c>
    </row>
    <row r="102" spans="1:11" x14ac:dyDescent="0.25">
      <c r="A102" s="270"/>
      <c r="B102" s="133" t="s">
        <v>156</v>
      </c>
      <c r="C102" s="186">
        <f ca="1">+SUMIF(ACCESORIOS!C198:D208,ACCESORIOS!H2:H2,ACCESORIOS!D198:D208)</f>
        <v>0</v>
      </c>
      <c r="D102" s="186">
        <v>0</v>
      </c>
      <c r="E102" s="165">
        <v>0</v>
      </c>
      <c r="F102" s="165">
        <f ca="1">+C102-D102-E102+F101</f>
        <v>929300</v>
      </c>
    </row>
    <row r="103" spans="1:11" x14ac:dyDescent="0.25">
      <c r="A103" s="172" t="s">
        <v>58</v>
      </c>
      <c r="B103" s="169"/>
      <c r="C103" s="170">
        <f ca="1">SUM(C98:C102)</f>
        <v>879000</v>
      </c>
      <c r="D103" s="170">
        <f>SUM(D98:D102)</f>
        <v>486600</v>
      </c>
      <c r="E103" s="170">
        <f>SUM(E98:E102)</f>
        <v>0</v>
      </c>
      <c r="F103" s="170">
        <f ca="1">F102</f>
        <v>929300</v>
      </c>
    </row>
    <row r="104" spans="1:11" x14ac:dyDescent="0.25">
      <c r="A104" s="274">
        <v>17</v>
      </c>
      <c r="B104" s="164" t="s">
        <v>91</v>
      </c>
      <c r="C104" s="165">
        <v>519000</v>
      </c>
      <c r="D104" s="165">
        <v>0</v>
      </c>
      <c r="E104" s="165">
        <v>0</v>
      </c>
      <c r="F104" s="165">
        <f ca="1">+C104-D104-E104+F103</f>
        <v>1448300</v>
      </c>
      <c r="J104" s="183"/>
      <c r="K104" s="183"/>
    </row>
    <row r="105" spans="1:11" x14ac:dyDescent="0.25">
      <c r="A105" s="275"/>
      <c r="B105" s="164" t="s">
        <v>91</v>
      </c>
      <c r="C105" s="165">
        <v>330000</v>
      </c>
      <c r="D105" s="165">
        <v>0</v>
      </c>
      <c r="E105" s="165">
        <v>0</v>
      </c>
      <c r="F105" s="165">
        <f ca="1">+C105-D105-E105+F104</f>
        <v>1778300</v>
      </c>
      <c r="J105" s="183"/>
      <c r="K105" s="183"/>
    </row>
    <row r="106" spans="1:11" x14ac:dyDescent="0.25">
      <c r="A106" s="275"/>
      <c r="B106" s="164" t="s">
        <v>92</v>
      </c>
      <c r="C106" s="165">
        <v>0</v>
      </c>
      <c r="D106" s="165">
        <v>688600</v>
      </c>
      <c r="E106" s="165">
        <v>0</v>
      </c>
      <c r="F106" s="165">
        <f ca="1">+C106-D106-E106+F105</f>
        <v>1089700</v>
      </c>
      <c r="J106" s="183"/>
      <c r="K106" s="183"/>
    </row>
    <row r="107" spans="1:11" x14ac:dyDescent="0.25">
      <c r="A107" s="275"/>
      <c r="B107" s="164" t="s">
        <v>161</v>
      </c>
      <c r="C107" s="165">
        <v>10000</v>
      </c>
      <c r="D107" s="165">
        <f>500000+60000+2000</f>
        <v>562000</v>
      </c>
      <c r="E107" s="165">
        <v>0</v>
      </c>
      <c r="F107" s="165">
        <f ca="1">+C107-D107-E107+F106</f>
        <v>537700</v>
      </c>
    </row>
    <row r="108" spans="1:11" x14ac:dyDescent="0.25">
      <c r="A108" s="276"/>
      <c r="B108" s="133" t="s">
        <v>156</v>
      </c>
      <c r="C108" s="186">
        <f ca="1">+SUMIF(ACCESORIOS!C211:D221,ACCESORIOS!H2,ACCESORIOS!D211:D221)</f>
        <v>14000</v>
      </c>
      <c r="D108" s="186">
        <v>0</v>
      </c>
      <c r="E108" s="165">
        <v>0</v>
      </c>
      <c r="F108" s="165">
        <f ca="1">+C108-D108-E108+F107</f>
        <v>551700</v>
      </c>
    </row>
    <row r="109" spans="1:11" x14ac:dyDescent="0.25">
      <c r="A109" s="171" t="s">
        <v>58</v>
      </c>
      <c r="B109" s="184"/>
      <c r="C109" s="185">
        <f ca="1">SUM(C104:C108)</f>
        <v>873000</v>
      </c>
      <c r="D109" s="185">
        <f>SUM(D104:D108)</f>
        <v>1250600</v>
      </c>
      <c r="E109" s="185">
        <f>SUM(E104:E108)</f>
        <v>0</v>
      </c>
      <c r="F109" s="185">
        <f ca="1">F108</f>
        <v>551700</v>
      </c>
    </row>
    <row r="110" spans="1:11" x14ac:dyDescent="0.25">
      <c r="A110" s="280">
        <v>18</v>
      </c>
      <c r="B110" s="164" t="s">
        <v>91</v>
      </c>
      <c r="C110" s="165">
        <v>247000</v>
      </c>
      <c r="D110" s="165">
        <v>0</v>
      </c>
      <c r="E110" s="165">
        <v>0</v>
      </c>
      <c r="F110" s="165">
        <f ca="1">+C110-D110-E110+F109</f>
        <v>798700</v>
      </c>
      <c r="J110" s="183"/>
    </row>
    <row r="111" spans="1:11" x14ac:dyDescent="0.25">
      <c r="A111" s="281"/>
      <c r="B111" s="164" t="s">
        <v>91</v>
      </c>
      <c r="C111" s="165">
        <v>305000</v>
      </c>
      <c r="D111" s="165">
        <v>0</v>
      </c>
      <c r="E111" s="165">
        <v>0</v>
      </c>
      <c r="F111" s="165">
        <f ca="1">+C111-D111-E111+F110</f>
        <v>1103700</v>
      </c>
      <c r="J111" s="183"/>
    </row>
    <row r="112" spans="1:11" x14ac:dyDescent="0.25">
      <c r="A112" s="281"/>
      <c r="B112" s="164" t="s">
        <v>92</v>
      </c>
      <c r="C112" s="165">
        <v>0</v>
      </c>
      <c r="D112" s="165">
        <v>598700</v>
      </c>
      <c r="E112" s="165">
        <v>0</v>
      </c>
      <c r="F112" s="165">
        <f ca="1">+C112-D112-E112+F111</f>
        <v>505000</v>
      </c>
      <c r="J112" s="183"/>
    </row>
    <row r="113" spans="1:13" x14ac:dyDescent="0.25">
      <c r="A113" s="281"/>
      <c r="B113" s="164"/>
      <c r="C113" s="165">
        <v>0</v>
      </c>
      <c r="D113" s="165">
        <v>0</v>
      </c>
      <c r="E113" s="165">
        <v>0</v>
      </c>
      <c r="F113" s="165">
        <f ca="1">+C113-D113-E113+F112</f>
        <v>505000</v>
      </c>
    </row>
    <row r="114" spans="1:13" x14ac:dyDescent="0.25">
      <c r="A114" s="282"/>
      <c r="B114" s="133" t="s">
        <v>156</v>
      </c>
      <c r="C114" s="186">
        <f ca="1">+SUMIF(ACCESORIOS!C224:D234,ACCESORIOS!H2,ACCESORIOS!D224:D234)</f>
        <v>0</v>
      </c>
      <c r="D114" s="186">
        <v>0</v>
      </c>
      <c r="E114" s="165">
        <v>0</v>
      </c>
      <c r="F114" s="165">
        <f ca="1">+C114-D114-E114+F113</f>
        <v>505000</v>
      </c>
    </row>
    <row r="115" spans="1:13" x14ac:dyDescent="0.25">
      <c r="A115" s="172" t="s">
        <v>58</v>
      </c>
      <c r="B115" s="169"/>
      <c r="C115" s="170">
        <f ca="1">SUM(C110:C114)</f>
        <v>552000</v>
      </c>
      <c r="D115" s="170">
        <f>SUM(D110:D114)</f>
        <v>598700</v>
      </c>
      <c r="E115" s="170">
        <f>SUM(E110:E114)</f>
        <v>0</v>
      </c>
      <c r="F115" s="170">
        <f ca="1">F114</f>
        <v>505000</v>
      </c>
    </row>
    <row r="116" spans="1:13" x14ac:dyDescent="0.25">
      <c r="A116" s="277">
        <v>19</v>
      </c>
      <c r="B116" s="164" t="s">
        <v>91</v>
      </c>
      <c r="C116" s="165">
        <v>135000</v>
      </c>
      <c r="D116" s="165">
        <v>0</v>
      </c>
      <c r="E116" s="165">
        <v>0</v>
      </c>
      <c r="F116" s="165">
        <f ca="1">+C116-D116-E116+F115</f>
        <v>640000</v>
      </c>
    </row>
    <row r="117" spans="1:13" x14ac:dyDescent="0.25">
      <c r="A117" s="278"/>
      <c r="B117" s="164" t="s">
        <v>91</v>
      </c>
      <c r="C117" s="165">
        <v>252500</v>
      </c>
      <c r="D117" s="165">
        <v>0</v>
      </c>
      <c r="E117" s="165">
        <v>0</v>
      </c>
      <c r="F117" s="165">
        <f ca="1">+C117-D117-E117+F116</f>
        <v>892500</v>
      </c>
    </row>
    <row r="118" spans="1:13" x14ac:dyDescent="0.25">
      <c r="A118" s="278"/>
      <c r="B118" s="164" t="s">
        <v>92</v>
      </c>
      <c r="C118" s="165">
        <v>0</v>
      </c>
      <c r="D118" s="165">
        <v>340600</v>
      </c>
      <c r="E118" s="165">
        <v>0</v>
      </c>
      <c r="F118" s="165">
        <f ca="1">+C118-D118-E118+F117</f>
        <v>551900</v>
      </c>
    </row>
    <row r="119" spans="1:13" x14ac:dyDescent="0.25">
      <c r="A119" s="278"/>
      <c r="B119" s="164"/>
      <c r="C119" s="165">
        <v>0</v>
      </c>
      <c r="D119" s="165">
        <v>0</v>
      </c>
      <c r="E119" s="165">
        <v>0</v>
      </c>
      <c r="F119" s="165">
        <f ca="1">+C119-D119-E119+F118</f>
        <v>551900</v>
      </c>
    </row>
    <row r="120" spans="1:13" x14ac:dyDescent="0.25">
      <c r="A120" s="279"/>
      <c r="B120" s="133" t="s">
        <v>156</v>
      </c>
      <c r="C120" s="186">
        <f ca="1">+SUMIF(ACCESORIOS!C237:D247,ACCESORIOS!H2,ACCESORIOS!D237:D247)</f>
        <v>0</v>
      </c>
      <c r="D120" s="186">
        <v>0</v>
      </c>
      <c r="E120" s="165">
        <v>0</v>
      </c>
      <c r="F120" s="165">
        <f ca="1">+C120-D120-E120+F119</f>
        <v>551900</v>
      </c>
      <c r="K120" s="183"/>
      <c r="M120" s="183"/>
    </row>
    <row r="121" spans="1:13" x14ac:dyDescent="0.25">
      <c r="A121" s="172" t="s">
        <v>58</v>
      </c>
      <c r="B121" s="184"/>
      <c r="C121" s="170">
        <f ca="1">SUM(C116:C120)</f>
        <v>387500</v>
      </c>
      <c r="D121" s="170">
        <f>SUM(D116:D120)</f>
        <v>340600</v>
      </c>
      <c r="E121" s="170">
        <f>SUM(E116:E120)</f>
        <v>0</v>
      </c>
      <c r="F121" s="170">
        <f ca="1">F120</f>
        <v>551900</v>
      </c>
    </row>
    <row r="122" spans="1:13" x14ac:dyDescent="0.25">
      <c r="A122" s="298">
        <v>20</v>
      </c>
      <c r="B122" s="164" t="s">
        <v>91</v>
      </c>
      <c r="C122" s="165">
        <v>131500</v>
      </c>
      <c r="D122" s="165">
        <v>0</v>
      </c>
      <c r="E122" s="165">
        <v>0</v>
      </c>
      <c r="F122" s="165">
        <f ca="1">+C122-D122-E122+F121</f>
        <v>683400</v>
      </c>
    </row>
    <row r="123" spans="1:13" x14ac:dyDescent="0.25">
      <c r="A123" s="299"/>
      <c r="B123" s="164" t="s">
        <v>91</v>
      </c>
      <c r="C123" s="165">
        <v>331000</v>
      </c>
      <c r="D123" s="165">
        <v>0</v>
      </c>
      <c r="E123" s="165">
        <v>0</v>
      </c>
      <c r="F123" s="165">
        <f ca="1">+C123-D123-E123+F122</f>
        <v>1014400</v>
      </c>
    </row>
    <row r="124" spans="1:13" x14ac:dyDescent="0.25">
      <c r="A124" s="299"/>
      <c r="B124" s="164" t="s">
        <v>92</v>
      </c>
      <c r="C124" s="165">
        <v>0</v>
      </c>
      <c r="D124" s="165">
        <v>629200</v>
      </c>
      <c r="E124" s="165">
        <v>0</v>
      </c>
      <c r="F124" s="165">
        <f ca="1">+C124-D124-E124+F123</f>
        <v>385200</v>
      </c>
    </row>
    <row r="125" spans="1:13" x14ac:dyDescent="0.25">
      <c r="A125" s="299"/>
      <c r="B125" s="164"/>
      <c r="C125" s="165">
        <v>0</v>
      </c>
      <c r="D125" s="165">
        <v>100000</v>
      </c>
      <c r="E125" s="165">
        <v>0</v>
      </c>
      <c r="F125" s="165">
        <f ca="1">+C125-D125-E125+F124</f>
        <v>285200</v>
      </c>
    </row>
    <row r="126" spans="1:13" x14ac:dyDescent="0.25">
      <c r="A126" s="300"/>
      <c r="B126" s="133" t="s">
        <v>156</v>
      </c>
      <c r="C126" s="186">
        <f ca="1">+SUMIF(ACCESORIOS!C250:D260,ACCESORIOS!H2,ACCESORIOS!D250:D260)</f>
        <v>0</v>
      </c>
      <c r="D126" s="186">
        <v>0</v>
      </c>
      <c r="E126" s="165">
        <v>0</v>
      </c>
      <c r="F126" s="165">
        <f ca="1">+C126-D126-E126+F125</f>
        <v>285200</v>
      </c>
    </row>
    <row r="127" spans="1:13" x14ac:dyDescent="0.25">
      <c r="A127" s="172" t="s">
        <v>58</v>
      </c>
      <c r="B127" s="169"/>
      <c r="C127" s="185">
        <f ca="1">SUM(C122:C126)</f>
        <v>462500</v>
      </c>
      <c r="D127" s="185">
        <f>SUM(D122:D126)</f>
        <v>729200</v>
      </c>
      <c r="E127" s="185">
        <f>SUM(E122:E126)</f>
        <v>0</v>
      </c>
      <c r="F127" s="185">
        <f ca="1">F126</f>
        <v>285200</v>
      </c>
    </row>
    <row r="128" spans="1:13" x14ac:dyDescent="0.25">
      <c r="A128" s="301">
        <v>21</v>
      </c>
      <c r="B128" s="164" t="s">
        <v>91</v>
      </c>
      <c r="C128" s="165">
        <v>199000</v>
      </c>
      <c r="D128" s="165">
        <v>0</v>
      </c>
      <c r="E128" s="165">
        <v>0</v>
      </c>
      <c r="F128" s="165">
        <f ca="1">+C128-D128-E128+F127</f>
        <v>484200</v>
      </c>
      <c r="K128" s="183"/>
    </row>
    <row r="129" spans="1:11" x14ac:dyDescent="0.25">
      <c r="A129" s="302"/>
      <c r="B129" s="164" t="s">
        <v>91</v>
      </c>
      <c r="C129" s="165">
        <v>492700</v>
      </c>
      <c r="D129" s="165">
        <v>0</v>
      </c>
      <c r="E129" s="165">
        <v>0</v>
      </c>
      <c r="F129" s="165">
        <f ca="1">+C129-D129-E129+F128</f>
        <v>976900</v>
      </c>
      <c r="K129" s="183"/>
    </row>
    <row r="130" spans="1:11" x14ac:dyDescent="0.25">
      <c r="A130" s="302"/>
      <c r="B130" s="164" t="s">
        <v>92</v>
      </c>
      <c r="C130" s="165">
        <v>0</v>
      </c>
      <c r="D130" s="165">
        <v>569700</v>
      </c>
      <c r="E130" s="165">
        <v>0</v>
      </c>
      <c r="F130" s="165">
        <f ca="1">+C130-D130-E130+F129</f>
        <v>407200</v>
      </c>
      <c r="K130" s="183"/>
    </row>
    <row r="131" spans="1:11" x14ac:dyDescent="0.25">
      <c r="A131" s="302"/>
      <c r="B131" s="164"/>
      <c r="C131" s="165">
        <v>0</v>
      </c>
      <c r="D131" s="165">
        <v>0</v>
      </c>
      <c r="E131" s="165">
        <v>0</v>
      </c>
      <c r="F131" s="165">
        <f ca="1">+C131-D131-E131+F130</f>
        <v>407200</v>
      </c>
      <c r="K131" s="183"/>
    </row>
    <row r="132" spans="1:11" x14ac:dyDescent="0.25">
      <c r="A132" s="303"/>
      <c r="B132" s="133" t="s">
        <v>156</v>
      </c>
      <c r="C132" s="186">
        <f ca="1">+SUMIF(ACCESORIOS!C263:D273,ACCESORIOS!H2,ACCESORIOS!D263:D273)</f>
        <v>0</v>
      </c>
      <c r="D132" s="186">
        <v>0</v>
      </c>
      <c r="E132" s="165">
        <v>0</v>
      </c>
      <c r="F132" s="165">
        <f ca="1">+C132-D132-E132+F131</f>
        <v>407200</v>
      </c>
      <c r="J132" s="183"/>
      <c r="K132" s="183"/>
    </row>
    <row r="133" spans="1:11" x14ac:dyDescent="0.25">
      <c r="A133" s="184" t="s">
        <v>58</v>
      </c>
      <c r="B133" s="184"/>
      <c r="C133" s="185">
        <f ca="1">SUM(C128:C132)</f>
        <v>691700</v>
      </c>
      <c r="D133" s="185">
        <f>SUM(D128:D132)</f>
        <v>569700</v>
      </c>
      <c r="E133" s="185">
        <f>SUM(E128:E132)</f>
        <v>0</v>
      </c>
      <c r="F133" s="185">
        <f ca="1">F132</f>
        <v>407200</v>
      </c>
      <c r="K133" s="183"/>
    </row>
    <row r="134" spans="1:11" x14ac:dyDescent="0.25">
      <c r="A134" s="295">
        <v>22</v>
      </c>
      <c r="B134" s="164" t="s">
        <v>91</v>
      </c>
      <c r="C134" s="165">
        <v>185500</v>
      </c>
      <c r="D134" s="165">
        <v>0</v>
      </c>
      <c r="E134" s="165">
        <v>0</v>
      </c>
      <c r="F134" s="165">
        <f ca="1">+C134-D134-E134+F133</f>
        <v>592700</v>
      </c>
      <c r="K134" s="183"/>
    </row>
    <row r="135" spans="1:11" x14ac:dyDescent="0.25">
      <c r="A135" s="296"/>
      <c r="B135" s="164" t="s">
        <v>91</v>
      </c>
      <c r="C135" s="165">
        <v>542000</v>
      </c>
      <c r="D135" s="165">
        <v>0</v>
      </c>
      <c r="E135" s="165">
        <v>0</v>
      </c>
      <c r="F135" s="165">
        <f ca="1">+C135-D135-E135+F134</f>
        <v>1134700</v>
      </c>
      <c r="K135" s="183"/>
    </row>
    <row r="136" spans="1:11" x14ac:dyDescent="0.25">
      <c r="A136" s="296"/>
      <c r="B136" s="164" t="s">
        <v>92</v>
      </c>
      <c r="C136" s="165">
        <v>0</v>
      </c>
      <c r="D136" s="165">
        <v>512400</v>
      </c>
      <c r="E136" s="165">
        <v>0</v>
      </c>
      <c r="F136" s="165">
        <f ca="1">+C136-D136-E136+F135</f>
        <v>622300</v>
      </c>
      <c r="K136" s="183"/>
    </row>
    <row r="137" spans="1:11" x14ac:dyDescent="0.25">
      <c r="A137" s="296"/>
      <c r="B137" s="164"/>
      <c r="C137" s="165">
        <v>0</v>
      </c>
      <c r="D137" s="165">
        <v>0</v>
      </c>
      <c r="E137" s="165">
        <v>0</v>
      </c>
      <c r="F137" s="165">
        <f ca="1">+C137-D137-E137+F136</f>
        <v>622300</v>
      </c>
    </row>
    <row r="138" spans="1:11" x14ac:dyDescent="0.25">
      <c r="A138" s="297"/>
      <c r="B138" s="133" t="s">
        <v>156</v>
      </c>
      <c r="C138" s="186">
        <f ca="1">+SUMIF(ACCESORIOS!C276:D286,ACCESORIOS!H2,ACCESORIOS!D276:D286)</f>
        <v>0</v>
      </c>
      <c r="D138" s="186">
        <v>0</v>
      </c>
      <c r="E138" s="165">
        <v>0</v>
      </c>
      <c r="F138" s="165">
        <f ca="1">+C138-D138-E138+F137</f>
        <v>622300</v>
      </c>
    </row>
    <row r="139" spans="1:11" x14ac:dyDescent="0.25">
      <c r="A139" s="172" t="s">
        <v>58</v>
      </c>
      <c r="B139" s="169"/>
      <c r="C139" s="185">
        <f ca="1">SUM(C134:C138)</f>
        <v>727500</v>
      </c>
      <c r="D139" s="185">
        <f>SUM(D134:D138)</f>
        <v>512400</v>
      </c>
      <c r="E139" s="185">
        <f>SUM(E134:E138)</f>
        <v>0</v>
      </c>
      <c r="F139" s="185">
        <f ca="1">F138</f>
        <v>622300</v>
      </c>
    </row>
    <row r="140" spans="1:11" x14ac:dyDescent="0.25">
      <c r="A140" s="304">
        <v>23</v>
      </c>
      <c r="B140" s="164" t="s">
        <v>91</v>
      </c>
      <c r="C140" s="165">
        <v>127000</v>
      </c>
      <c r="D140" s="165">
        <v>0</v>
      </c>
      <c r="E140" s="165">
        <v>0</v>
      </c>
      <c r="F140" s="165">
        <f ca="1">+C140-D140-E140+F139</f>
        <v>749300</v>
      </c>
      <c r="J140" s="183"/>
    </row>
    <row r="141" spans="1:11" x14ac:dyDescent="0.25">
      <c r="A141" s="305"/>
      <c r="B141" s="164" t="s">
        <v>91</v>
      </c>
      <c r="C141" s="165">
        <v>611200</v>
      </c>
      <c r="D141" s="165">
        <v>0</v>
      </c>
      <c r="E141" s="165">
        <v>0</v>
      </c>
      <c r="F141" s="165">
        <f ca="1">+C141-D141-E141+F140</f>
        <v>1360500</v>
      </c>
      <c r="J141" s="183"/>
    </row>
    <row r="142" spans="1:11" x14ac:dyDescent="0.25">
      <c r="A142" s="305"/>
      <c r="B142" s="164" t="s">
        <v>92</v>
      </c>
      <c r="C142" s="165">
        <v>0</v>
      </c>
      <c r="D142" s="165">
        <v>450000</v>
      </c>
      <c r="E142" s="165">
        <v>0</v>
      </c>
      <c r="F142" s="165">
        <f ca="1">+C142-D142-E142+F141</f>
        <v>910500</v>
      </c>
      <c r="J142" s="183"/>
    </row>
    <row r="143" spans="1:11" x14ac:dyDescent="0.25">
      <c r="A143" s="305"/>
      <c r="B143" s="164"/>
      <c r="C143" s="165">
        <v>0</v>
      </c>
      <c r="D143" s="165">
        <v>0</v>
      </c>
      <c r="E143" s="165">
        <v>0</v>
      </c>
      <c r="F143" s="165">
        <f ca="1">+C143-D143-E143+F142</f>
        <v>910500</v>
      </c>
    </row>
    <row r="144" spans="1:11" x14ac:dyDescent="0.25">
      <c r="A144" s="306"/>
      <c r="B144" s="133" t="s">
        <v>156</v>
      </c>
      <c r="C144" s="186">
        <f ca="1">+SUMIF(ACCESORIOS!C289:D299,ACCESORIOS!H2,ACCESORIOS!D289:D299)</f>
        <v>0</v>
      </c>
      <c r="D144" s="186">
        <v>0</v>
      </c>
      <c r="E144" s="165">
        <v>0</v>
      </c>
      <c r="F144" s="165">
        <f ca="1">+C144-D144-E144+F143</f>
        <v>910500</v>
      </c>
    </row>
    <row r="145" spans="1:10" x14ac:dyDescent="0.25">
      <c r="A145" s="184" t="s">
        <v>58</v>
      </c>
      <c r="B145" s="184"/>
      <c r="C145" s="185">
        <f ca="1">SUM(C140:C144)</f>
        <v>738200</v>
      </c>
      <c r="D145" s="185">
        <f>SUM(D140:D144)</f>
        <v>450000</v>
      </c>
      <c r="E145" s="185">
        <f>SUM(E140:E144)</f>
        <v>0</v>
      </c>
      <c r="F145" s="185">
        <f ca="1">F144</f>
        <v>910500</v>
      </c>
      <c r="H145" s="216"/>
    </row>
    <row r="146" spans="1:10" x14ac:dyDescent="0.25">
      <c r="A146" s="259">
        <v>24</v>
      </c>
      <c r="B146" s="164" t="s">
        <v>91</v>
      </c>
      <c r="C146" s="165">
        <v>241000</v>
      </c>
      <c r="D146" s="165">
        <v>0</v>
      </c>
      <c r="E146" s="165">
        <v>0</v>
      </c>
      <c r="F146" s="165">
        <f ca="1">+C146-D146-E146+F145</f>
        <v>1151500</v>
      </c>
    </row>
    <row r="147" spans="1:10" x14ac:dyDescent="0.25">
      <c r="A147" s="260"/>
      <c r="B147" s="164" t="s">
        <v>91</v>
      </c>
      <c r="C147" s="165">
        <v>506000</v>
      </c>
      <c r="D147" s="165">
        <v>0</v>
      </c>
      <c r="E147" s="165">
        <v>0</v>
      </c>
      <c r="F147" s="165">
        <f ca="1">+C147-D147-E147+F146</f>
        <v>1657500</v>
      </c>
    </row>
    <row r="148" spans="1:10" x14ac:dyDescent="0.25">
      <c r="A148" s="260"/>
      <c r="B148" s="164" t="s">
        <v>92</v>
      </c>
      <c r="C148" s="165">
        <v>0</v>
      </c>
      <c r="D148" s="165">
        <v>677000</v>
      </c>
      <c r="E148" s="165">
        <v>0</v>
      </c>
      <c r="F148" s="165">
        <f ca="1">+C148-D148-E148+F147</f>
        <v>980500</v>
      </c>
    </row>
    <row r="149" spans="1:10" x14ac:dyDescent="0.25">
      <c r="A149" s="260"/>
      <c r="B149" s="164"/>
      <c r="C149" s="165">
        <v>0</v>
      </c>
      <c r="D149" s="165">
        <v>700000</v>
      </c>
      <c r="E149" s="165">
        <v>0</v>
      </c>
      <c r="F149" s="165">
        <f ca="1">+C149-D149-E149+F148</f>
        <v>280500</v>
      </c>
    </row>
    <row r="150" spans="1:10" x14ac:dyDescent="0.25">
      <c r="A150" s="261"/>
      <c r="B150" s="133" t="s">
        <v>156</v>
      </c>
      <c r="C150" s="186">
        <f ca="1">+SUMIF(ACCESORIOS!C302:D312,ACCESORIOS!H2,ACCESORIOS!D302:D312)</f>
        <v>0</v>
      </c>
      <c r="D150" s="186">
        <v>0</v>
      </c>
      <c r="E150" s="165">
        <v>0</v>
      </c>
      <c r="F150" s="165">
        <f ca="1">+C150-D150-E150+F149</f>
        <v>280500</v>
      </c>
    </row>
    <row r="151" spans="1:10" x14ac:dyDescent="0.25">
      <c r="A151" s="184" t="s">
        <v>58</v>
      </c>
      <c r="B151" s="169"/>
      <c r="C151" s="185">
        <f ca="1">SUM(C146:C150)</f>
        <v>747000</v>
      </c>
      <c r="D151" s="185">
        <f>SUM(D146:D150)</f>
        <v>1377000</v>
      </c>
      <c r="E151" s="185">
        <f>SUM(E146:E150)</f>
        <v>0</v>
      </c>
      <c r="F151" s="185">
        <f ca="1">F150</f>
        <v>280500</v>
      </c>
    </row>
    <row r="152" spans="1:10" x14ac:dyDescent="0.25">
      <c r="A152" s="283">
        <v>25</v>
      </c>
      <c r="B152" s="164" t="s">
        <v>91</v>
      </c>
      <c r="C152" s="165">
        <v>171000</v>
      </c>
      <c r="D152" s="165">
        <v>0</v>
      </c>
      <c r="E152" s="165">
        <v>0</v>
      </c>
      <c r="F152" s="165">
        <f ca="1">+C152-D152-E152+F151</f>
        <v>451500</v>
      </c>
      <c r="J152" s="183"/>
    </row>
    <row r="153" spans="1:10" x14ac:dyDescent="0.25">
      <c r="A153" s="284"/>
      <c r="B153" s="164" t="s">
        <v>91</v>
      </c>
      <c r="C153" s="165">
        <v>455000</v>
      </c>
      <c r="D153" s="165">
        <v>0</v>
      </c>
      <c r="E153" s="165">
        <v>0</v>
      </c>
      <c r="F153" s="165">
        <f ca="1">+C153-D153-E153+F152</f>
        <v>906500</v>
      </c>
      <c r="J153" s="183"/>
    </row>
    <row r="154" spans="1:10" x14ac:dyDescent="0.25">
      <c r="A154" s="284"/>
      <c r="B154" s="164" t="s">
        <v>92</v>
      </c>
      <c r="C154" s="165">
        <v>0</v>
      </c>
      <c r="D154" s="165">
        <v>592900</v>
      </c>
      <c r="E154" s="165">
        <v>0</v>
      </c>
      <c r="F154" s="165">
        <f ca="1">+C154-D154-E154+F153</f>
        <v>313600</v>
      </c>
      <c r="J154" s="183"/>
    </row>
    <row r="155" spans="1:10" x14ac:dyDescent="0.25">
      <c r="A155" s="284"/>
      <c r="B155" s="164"/>
      <c r="C155" s="165">
        <v>0</v>
      </c>
      <c r="D155" s="165">
        <v>0</v>
      </c>
      <c r="E155" s="165">
        <v>0</v>
      </c>
      <c r="F155" s="165">
        <f ca="1">+C155-D155-E155+F154</f>
        <v>313600</v>
      </c>
    </row>
    <row r="156" spans="1:10" x14ac:dyDescent="0.25">
      <c r="A156" s="285"/>
      <c r="B156" s="133" t="s">
        <v>156</v>
      </c>
      <c r="C156" s="186">
        <f ca="1">+SUMIF(ACCESORIOS!C315:D325,ACCESORIOS!H2,ACCESORIOS!D315:D325)</f>
        <v>0</v>
      </c>
      <c r="D156" s="186">
        <v>0</v>
      </c>
      <c r="E156" s="165">
        <v>0</v>
      </c>
      <c r="F156" s="165">
        <f ca="1">+C156-D156-E156+F155</f>
        <v>313600</v>
      </c>
      <c r="J156" s="183"/>
    </row>
    <row r="157" spans="1:10" x14ac:dyDescent="0.25">
      <c r="A157" s="184" t="s">
        <v>58</v>
      </c>
      <c r="B157" s="184"/>
      <c r="C157" s="185">
        <f ca="1">SUM(C152:C156)</f>
        <v>626000</v>
      </c>
      <c r="D157" s="185">
        <f>SUM(D152:D156)</f>
        <v>592900</v>
      </c>
      <c r="E157" s="185">
        <f>SUM(E152:E156)</f>
        <v>0</v>
      </c>
      <c r="F157" s="185">
        <f ca="1">F156</f>
        <v>313600</v>
      </c>
    </row>
    <row r="158" spans="1:10" x14ac:dyDescent="0.25">
      <c r="A158" s="280">
        <v>26</v>
      </c>
      <c r="B158" s="164" t="s">
        <v>91</v>
      </c>
      <c r="C158" s="165">
        <v>131500</v>
      </c>
      <c r="D158" s="165">
        <v>0</v>
      </c>
      <c r="E158" s="165">
        <v>0</v>
      </c>
      <c r="F158" s="165">
        <f ca="1">+C158-D158-E158+F157</f>
        <v>445100</v>
      </c>
    </row>
    <row r="159" spans="1:10" x14ac:dyDescent="0.25">
      <c r="A159" s="281"/>
      <c r="B159" s="164" t="s">
        <v>91</v>
      </c>
      <c r="C159" s="165">
        <v>273000</v>
      </c>
      <c r="D159" s="165">
        <v>0</v>
      </c>
      <c r="E159" s="165">
        <v>0</v>
      </c>
      <c r="F159" s="165">
        <f ca="1">+C159-D159-E159+F158</f>
        <v>718100</v>
      </c>
    </row>
    <row r="160" spans="1:10" x14ac:dyDescent="0.25">
      <c r="A160" s="281"/>
      <c r="B160" s="164" t="s">
        <v>92</v>
      </c>
      <c r="C160" s="165">
        <v>0</v>
      </c>
      <c r="D160" s="165">
        <v>480700</v>
      </c>
      <c r="E160" s="165">
        <v>0</v>
      </c>
      <c r="F160" s="165">
        <f ca="1">+C160-D160-E160+F159</f>
        <v>237400</v>
      </c>
    </row>
    <row r="161" spans="1:8" x14ac:dyDescent="0.25">
      <c r="A161" s="281"/>
      <c r="B161" s="164"/>
      <c r="C161" s="165">
        <v>0</v>
      </c>
      <c r="D161" s="165">
        <v>0</v>
      </c>
      <c r="E161" s="165">
        <v>0</v>
      </c>
      <c r="F161" s="165">
        <f ca="1">+C161-D161-E161+F160</f>
        <v>237400</v>
      </c>
    </row>
    <row r="162" spans="1:8" x14ac:dyDescent="0.25">
      <c r="A162" s="282"/>
      <c r="B162" s="133" t="s">
        <v>156</v>
      </c>
      <c r="C162" s="186">
        <f ca="1">+SUMIF(ACCESORIOS!C328:D338,ACCESORIOS!H2,ACCESORIOS!D328:D338)</f>
        <v>8000</v>
      </c>
      <c r="D162" s="186">
        <v>0</v>
      </c>
      <c r="E162" s="165">
        <v>0</v>
      </c>
      <c r="F162" s="165">
        <f ca="1">+C162-D162-E162+F161</f>
        <v>245400</v>
      </c>
    </row>
    <row r="163" spans="1:8" x14ac:dyDescent="0.25">
      <c r="A163" s="172" t="s">
        <v>58</v>
      </c>
      <c r="B163" s="169"/>
      <c r="C163" s="185">
        <f ca="1">SUM(C158:C162)</f>
        <v>412500</v>
      </c>
      <c r="D163" s="185">
        <f>SUM(D158:D162)</f>
        <v>480700</v>
      </c>
      <c r="E163" s="185">
        <f>SUM(E158:E162)</f>
        <v>0</v>
      </c>
      <c r="F163" s="185">
        <f ca="1">F162</f>
        <v>245400</v>
      </c>
    </row>
    <row r="164" spans="1:8" x14ac:dyDescent="0.25">
      <c r="A164" s="298">
        <v>27</v>
      </c>
      <c r="B164" s="164" t="s">
        <v>91</v>
      </c>
      <c r="C164" s="165">
        <v>565000</v>
      </c>
      <c r="D164" s="165">
        <v>0</v>
      </c>
      <c r="E164" s="165">
        <v>0</v>
      </c>
      <c r="F164" s="165">
        <f ca="1">+C164-D164-E164+F163</f>
        <v>810400</v>
      </c>
    </row>
    <row r="165" spans="1:8" x14ac:dyDescent="0.25">
      <c r="A165" s="299"/>
      <c r="B165" s="164" t="s">
        <v>91</v>
      </c>
      <c r="C165" s="165">
        <v>158000</v>
      </c>
      <c r="D165" s="165">
        <v>0</v>
      </c>
      <c r="E165" s="165">
        <v>0</v>
      </c>
      <c r="F165" s="165">
        <f ca="1">+C165-D165-E165+F164</f>
        <v>968400</v>
      </c>
    </row>
    <row r="166" spans="1:8" x14ac:dyDescent="0.25">
      <c r="A166" s="299"/>
      <c r="B166" s="164" t="s">
        <v>92</v>
      </c>
      <c r="C166" s="165">
        <v>0</v>
      </c>
      <c r="D166" s="165">
        <v>570600</v>
      </c>
      <c r="E166" s="165">
        <v>0</v>
      </c>
      <c r="F166" s="165">
        <f ca="1">+C166-D166-E166+F165</f>
        <v>397800</v>
      </c>
    </row>
    <row r="167" spans="1:8" x14ac:dyDescent="0.25">
      <c r="A167" s="299"/>
      <c r="B167" s="164"/>
      <c r="C167" s="165">
        <v>0</v>
      </c>
      <c r="D167" s="165">
        <v>0</v>
      </c>
      <c r="E167" s="165">
        <v>0</v>
      </c>
      <c r="F167" s="165">
        <f ca="1">+C167-D167-E167+F166</f>
        <v>397800</v>
      </c>
    </row>
    <row r="168" spans="1:8" x14ac:dyDescent="0.25">
      <c r="A168" s="300"/>
      <c r="B168" s="133" t="s">
        <v>156</v>
      </c>
      <c r="C168" s="186">
        <f ca="1">+SUMIF(ACCESORIOS!C341:D351,ACCESORIOS!H2,ACCESORIOS!D341:D351)</f>
        <v>0</v>
      </c>
      <c r="D168" s="165">
        <v>0</v>
      </c>
      <c r="E168" s="165">
        <v>0</v>
      </c>
      <c r="F168" s="165">
        <f ca="1">+C168-D168-E168+F167</f>
        <v>397800</v>
      </c>
    </row>
    <row r="169" spans="1:8" x14ac:dyDescent="0.25">
      <c r="A169" s="184" t="s">
        <v>58</v>
      </c>
      <c r="B169" s="184"/>
      <c r="C169" s="185">
        <f ca="1">SUM(C164:C168)</f>
        <v>723000</v>
      </c>
      <c r="D169" s="185">
        <f>SUM(D164:D168)</f>
        <v>570600</v>
      </c>
      <c r="E169" s="185">
        <f>SUM(E164:E168)</f>
        <v>0</v>
      </c>
      <c r="F169" s="185">
        <f ca="1">F168</f>
        <v>397800</v>
      </c>
    </row>
    <row r="170" spans="1:8" x14ac:dyDescent="0.25">
      <c r="A170" s="277">
        <v>28</v>
      </c>
      <c r="B170" s="164" t="s">
        <v>91</v>
      </c>
      <c r="C170" s="165">
        <v>187000</v>
      </c>
      <c r="D170" s="165">
        <v>0</v>
      </c>
      <c r="E170" s="165">
        <v>0</v>
      </c>
      <c r="F170" s="165">
        <f ca="1">+C170-D170-E170+F169</f>
        <v>584800</v>
      </c>
    </row>
    <row r="171" spans="1:8" x14ac:dyDescent="0.25">
      <c r="A171" s="278"/>
      <c r="B171" s="164" t="s">
        <v>91</v>
      </c>
      <c r="C171" s="165">
        <v>716000</v>
      </c>
      <c r="D171" s="165">
        <v>0</v>
      </c>
      <c r="E171" s="165">
        <v>0</v>
      </c>
      <c r="F171" s="165">
        <f ca="1">+C171-D171-E171+F170</f>
        <v>1300800</v>
      </c>
    </row>
    <row r="172" spans="1:8" x14ac:dyDescent="0.25">
      <c r="A172" s="278"/>
      <c r="B172" s="164" t="s">
        <v>92</v>
      </c>
      <c r="C172" s="165">
        <v>0</v>
      </c>
      <c r="D172" s="165">
        <v>685000</v>
      </c>
      <c r="E172" s="165">
        <v>0</v>
      </c>
      <c r="F172" s="165">
        <f ca="1">+C172-D172-E172+F171</f>
        <v>615800</v>
      </c>
    </row>
    <row r="173" spans="1:8" x14ac:dyDescent="0.25">
      <c r="A173" s="278"/>
      <c r="B173" s="164"/>
      <c r="C173" s="165">
        <v>0</v>
      </c>
      <c r="D173" s="165">
        <v>206300</v>
      </c>
      <c r="E173" s="165">
        <v>0</v>
      </c>
      <c r="F173" s="165">
        <f ca="1">+C173-D173-E173+F172</f>
        <v>409500</v>
      </c>
    </row>
    <row r="174" spans="1:8" x14ac:dyDescent="0.25">
      <c r="A174" s="279"/>
      <c r="B174" s="133" t="s">
        <v>156</v>
      </c>
      <c r="C174" s="186">
        <f ca="1">+SUMIF(ACCESORIOS!C354:D364,ACCESORIOS!H2,ACCESORIOS!D354:D364)</f>
        <v>0</v>
      </c>
      <c r="D174" s="186">
        <v>0</v>
      </c>
      <c r="E174" s="165">
        <v>0</v>
      </c>
      <c r="F174" s="165">
        <f ca="1">+C174-D174-E174+F173</f>
        <v>409500</v>
      </c>
    </row>
    <row r="175" spans="1:8" x14ac:dyDescent="0.25">
      <c r="A175" s="184" t="s">
        <v>58</v>
      </c>
      <c r="B175" s="169"/>
      <c r="C175" s="185">
        <f ca="1">SUM(C170:C174)</f>
        <v>903000</v>
      </c>
      <c r="D175" s="185">
        <f>SUM(D170:D174)</f>
        <v>891300</v>
      </c>
      <c r="E175" s="185">
        <f>SUM(E170:E174)</f>
        <v>0</v>
      </c>
      <c r="F175" s="185">
        <f ca="1">F174</f>
        <v>409500</v>
      </c>
      <c r="H175" s="216"/>
    </row>
    <row r="176" spans="1:8" x14ac:dyDescent="0.25">
      <c r="A176" s="259">
        <v>29</v>
      </c>
      <c r="B176" s="164" t="s">
        <v>91</v>
      </c>
      <c r="C176" s="165">
        <v>297000</v>
      </c>
      <c r="D176" s="165">
        <v>0</v>
      </c>
      <c r="E176" s="165">
        <v>0</v>
      </c>
      <c r="F176" s="165">
        <f ca="1">+C176-D176-E176+F175</f>
        <v>706500</v>
      </c>
    </row>
    <row r="177" spans="1:6" x14ac:dyDescent="0.25">
      <c r="A177" s="260"/>
      <c r="B177" s="164" t="s">
        <v>91</v>
      </c>
      <c r="C177" s="165">
        <v>305000</v>
      </c>
      <c r="D177" s="165">
        <v>0</v>
      </c>
      <c r="E177" s="165">
        <v>0</v>
      </c>
      <c r="F177" s="165">
        <f ca="1">+C177-D177-E177+F176</f>
        <v>1011500</v>
      </c>
    </row>
    <row r="178" spans="1:6" x14ac:dyDescent="0.25">
      <c r="A178" s="260"/>
      <c r="B178" s="164" t="s">
        <v>92</v>
      </c>
      <c r="C178" s="165"/>
      <c r="D178" s="165">
        <v>616800</v>
      </c>
      <c r="E178" s="165">
        <v>0</v>
      </c>
      <c r="F178" s="165">
        <f ca="1">+C178-D178-E178+F177</f>
        <v>394700</v>
      </c>
    </row>
    <row r="179" spans="1:6" x14ac:dyDescent="0.25">
      <c r="A179" s="260"/>
      <c r="B179" s="164"/>
      <c r="C179" s="165">
        <v>0</v>
      </c>
      <c r="D179" s="165">
        <v>0</v>
      </c>
      <c r="E179" s="165">
        <v>0</v>
      </c>
      <c r="F179" s="165">
        <f ca="1">+C179-D179-E179+F178</f>
        <v>394700</v>
      </c>
    </row>
    <row r="180" spans="1:6" x14ac:dyDescent="0.25">
      <c r="A180" s="261"/>
      <c r="B180" s="133" t="s">
        <v>156</v>
      </c>
      <c r="C180" s="186">
        <f ca="1">+SUMIF(ACCESORIOS!C367:D377,ACCESORIOS!H2,ACCESORIOS!D367:D377)</f>
        <v>0</v>
      </c>
      <c r="D180" s="186">
        <v>0</v>
      </c>
      <c r="E180" s="186">
        <v>0</v>
      </c>
      <c r="F180" s="165">
        <f ca="1">+C180-D180-E180+F179</f>
        <v>394700</v>
      </c>
    </row>
    <row r="181" spans="1:6" x14ac:dyDescent="0.25">
      <c r="A181" s="184" t="s">
        <v>58</v>
      </c>
      <c r="B181" s="184"/>
      <c r="C181" s="185">
        <f ca="1">SUM(C176:C180)</f>
        <v>602000</v>
      </c>
      <c r="D181" s="185">
        <f>SUM(D176:D180)</f>
        <v>616800</v>
      </c>
      <c r="E181" s="185">
        <f>SUM(E176:E180)</f>
        <v>0</v>
      </c>
      <c r="F181" s="185">
        <f ca="1">F180</f>
        <v>394700</v>
      </c>
    </row>
    <row r="182" spans="1:6" x14ac:dyDescent="0.25">
      <c r="A182" s="295">
        <v>30</v>
      </c>
      <c r="B182" s="164" t="s">
        <v>91</v>
      </c>
      <c r="C182" s="165">
        <v>258000</v>
      </c>
      <c r="D182" s="165">
        <v>0</v>
      </c>
      <c r="E182" s="165">
        <v>0</v>
      </c>
      <c r="F182" s="165">
        <f ca="1">+C182-D182-E182+F181</f>
        <v>652700</v>
      </c>
    </row>
    <row r="183" spans="1:6" x14ac:dyDescent="0.25">
      <c r="A183" s="296"/>
      <c r="B183" s="164" t="s">
        <v>91</v>
      </c>
      <c r="C183" s="165">
        <v>414000</v>
      </c>
      <c r="D183" s="165">
        <v>0</v>
      </c>
      <c r="E183" s="165">
        <v>0</v>
      </c>
      <c r="F183" s="165">
        <f ca="1">+C183-D183-E183+F182</f>
        <v>1066700</v>
      </c>
    </row>
    <row r="184" spans="1:6" x14ac:dyDescent="0.25">
      <c r="A184" s="296"/>
      <c r="B184" s="164" t="s">
        <v>92</v>
      </c>
      <c r="C184" s="165">
        <v>0</v>
      </c>
      <c r="D184" s="165">
        <v>320900</v>
      </c>
      <c r="E184" s="165">
        <v>0</v>
      </c>
      <c r="F184" s="165">
        <f ca="1">+C184-D184-E184+F183</f>
        <v>745800</v>
      </c>
    </row>
    <row r="185" spans="1:6" x14ac:dyDescent="0.25">
      <c r="A185" s="296"/>
      <c r="B185" s="164" t="s">
        <v>161</v>
      </c>
      <c r="C185" s="165">
        <v>0</v>
      </c>
      <c r="D185" s="165">
        <v>100000</v>
      </c>
      <c r="E185" s="165">
        <v>0</v>
      </c>
      <c r="F185" s="165">
        <f ca="1">+C185-D185-E185+F184</f>
        <v>645800</v>
      </c>
    </row>
    <row r="186" spans="1:6" x14ac:dyDescent="0.25">
      <c r="A186" s="297"/>
      <c r="B186" s="133" t="s">
        <v>156</v>
      </c>
      <c r="C186" s="186">
        <f ca="1">+SUMIF(ACCESORIOS!C380:D390,ACCESORIOS!H2,ACCESORIOS!D380:D390)</f>
        <v>0</v>
      </c>
      <c r="D186" s="186">
        <v>0</v>
      </c>
      <c r="E186" s="165">
        <v>0</v>
      </c>
      <c r="F186" s="165">
        <f ca="1">+C186-D186-E186+F185</f>
        <v>645800</v>
      </c>
    </row>
    <row r="187" spans="1:6" x14ac:dyDescent="0.25">
      <c r="A187" s="172" t="s">
        <v>58</v>
      </c>
      <c r="B187" s="169"/>
      <c r="C187" s="185">
        <f ca="1">SUM(C182:C186)</f>
        <v>672000</v>
      </c>
      <c r="D187" s="185">
        <f>SUM(D182:D186)</f>
        <v>420900</v>
      </c>
      <c r="E187" s="185">
        <f>SUM(E182:E186)</f>
        <v>0</v>
      </c>
      <c r="F187" s="185">
        <f ca="1">F186</f>
        <v>645800</v>
      </c>
    </row>
    <row r="188" spans="1:6" x14ac:dyDescent="0.25">
      <c r="A188" s="271">
        <v>31</v>
      </c>
      <c r="B188" s="164" t="s">
        <v>91</v>
      </c>
      <c r="C188" s="165">
        <v>0</v>
      </c>
      <c r="D188" s="165">
        <v>0</v>
      </c>
      <c r="E188" s="165">
        <v>0</v>
      </c>
      <c r="F188" s="165">
        <f ca="1">+C188-D188-E188+F187</f>
        <v>645800</v>
      </c>
    </row>
    <row r="189" spans="1:6" x14ac:dyDescent="0.25">
      <c r="A189" s="272"/>
      <c r="B189" s="164" t="s">
        <v>91</v>
      </c>
      <c r="C189" s="165">
        <v>0</v>
      </c>
      <c r="D189" s="165">
        <v>0</v>
      </c>
      <c r="E189" s="165">
        <v>0</v>
      </c>
      <c r="F189" s="165">
        <f ca="1">+C189-D189-E189+F188</f>
        <v>645800</v>
      </c>
    </row>
    <row r="190" spans="1:6" x14ac:dyDescent="0.25">
      <c r="A190" s="272"/>
      <c r="B190" s="164" t="s">
        <v>92</v>
      </c>
      <c r="C190" s="165">
        <v>0</v>
      </c>
      <c r="D190" s="165">
        <v>0</v>
      </c>
      <c r="E190" s="165">
        <v>0</v>
      </c>
      <c r="F190" s="165">
        <f ca="1">+C190-D190-E190+F189</f>
        <v>645800</v>
      </c>
    </row>
    <row r="191" spans="1:6" x14ac:dyDescent="0.25">
      <c r="A191" s="272"/>
      <c r="B191" s="164"/>
      <c r="C191" s="165">
        <v>0</v>
      </c>
      <c r="D191" s="165">
        <v>0</v>
      </c>
      <c r="E191" s="165">
        <v>0</v>
      </c>
      <c r="F191" s="165">
        <f ca="1">+C191-D191-E191+F190</f>
        <v>645800</v>
      </c>
    </row>
    <row r="192" spans="1:6" x14ac:dyDescent="0.25">
      <c r="A192" s="273"/>
      <c r="B192" s="133" t="s">
        <v>156</v>
      </c>
      <c r="C192" s="186">
        <f ca="1">+SUMIF(ACCESORIOS!C393:D403,ACCESORIOS!H2,ACCESORIOS!D393:D403)</f>
        <v>0</v>
      </c>
      <c r="D192" s="186">
        <v>0</v>
      </c>
      <c r="E192" s="165">
        <v>0</v>
      </c>
      <c r="F192" s="165">
        <f ca="1">+C192-D192-E192+F191</f>
        <v>645800</v>
      </c>
    </row>
    <row r="193" spans="1:6" x14ac:dyDescent="0.25">
      <c r="A193" s="187" t="s">
        <v>58</v>
      </c>
      <c r="B193" s="188"/>
      <c r="C193" s="189">
        <f ca="1">SUM(C188:C192)</f>
        <v>0</v>
      </c>
      <c r="D193" s="189">
        <f>SUM(D188:D192)</f>
        <v>0</v>
      </c>
      <c r="E193" s="189">
        <f>SUM(E188:E192)</f>
        <v>0</v>
      </c>
      <c r="F193" s="189">
        <f ca="1">F192</f>
        <v>645800</v>
      </c>
    </row>
    <row r="194" spans="1:6" x14ac:dyDescent="0.25">
      <c r="A194" s="190" t="s">
        <v>58</v>
      </c>
      <c r="B194" s="191"/>
      <c r="C194" s="192">
        <f ca="1">C12+C18+C24+C30+C36+C42+C48+C54+C60+C67+C73+C79+C85+C91+C97+C103+C109+C115+C121+C127+C133+C139+C145+C151+C157+C163+C169+C175+C181+C187+C193</f>
        <v>20182550</v>
      </c>
      <c r="D194" s="192">
        <f>D12+D18+D24+D30+D36+D42+D48+D54+D60+D67+D73+D79+D85+D91+D97+D103+D109+D115+D121+D127+D133+D139+D145+D151+D157+D163+D169+D175+D181+D187+D193</f>
        <v>19536750</v>
      </c>
      <c r="E194" s="192">
        <f>E12+E18+E24+E30+E36+E42+E48+E54+E60+E67+E73+E79+E85+E91+E97+E103+E109+E115+E121+E127+E133+E139+E145+E151+E157+E163+E169+E175+E181+E187+E193</f>
        <v>0</v>
      </c>
      <c r="F194" s="192">
        <f ca="1">+C194-D194-E194</f>
        <v>645800</v>
      </c>
    </row>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row r="1285" s="135" customFormat="1" x14ac:dyDescent="0.25"/>
  </sheetData>
  <sheetProtection formatCells="0" formatColumns="0" formatRows="0" insertColumns="0" insertRows="0" insertHyperlinks="0" deleteColumns="0" deleteRows="0" selectLockedCells="1" sort="0" autoFilter="0" pivotTables="0"/>
  <mergeCells count="32">
    <mergeCell ref="A1:F4"/>
    <mergeCell ref="A182:A186"/>
    <mergeCell ref="A188:A192"/>
    <mergeCell ref="A146:A150"/>
    <mergeCell ref="A152:A156"/>
    <mergeCell ref="A158:A162"/>
    <mergeCell ref="A164:A168"/>
    <mergeCell ref="A170:A174"/>
    <mergeCell ref="A176:A180"/>
    <mergeCell ref="A110:A114"/>
    <mergeCell ref="A116:A120"/>
    <mergeCell ref="A122:A126"/>
    <mergeCell ref="A128:A132"/>
    <mergeCell ref="A134:A138"/>
    <mergeCell ref="A140:A144"/>
    <mergeCell ref="A74:A78"/>
    <mergeCell ref="A80:A84"/>
    <mergeCell ref="A86:A90"/>
    <mergeCell ref="A92:A96"/>
    <mergeCell ref="A98:A102"/>
    <mergeCell ref="A104:A108"/>
    <mergeCell ref="A6:A11"/>
    <mergeCell ref="A68:A72"/>
    <mergeCell ref="A13:A17"/>
    <mergeCell ref="A19:A23"/>
    <mergeCell ref="A25:A29"/>
    <mergeCell ref="A31:A35"/>
    <mergeCell ref="A37:A41"/>
    <mergeCell ref="A43:A47"/>
    <mergeCell ref="A49:A53"/>
    <mergeCell ref="A55:A59"/>
    <mergeCell ref="A61:A66"/>
  </mergeCells>
  <dataValidations count="3">
    <dataValidation type="list" allowBlank="1" showInputMessage="1" showErrorMessage="1" sqref="AD13" xr:uid="{D56920CD-6943-4DE8-B926-42DDE064431F}">
      <formula1>$Z$25:$Z$43</formula1>
    </dataValidation>
    <dataValidation type="list" allowBlank="1" showInputMessage="1" showErrorMessage="1" sqref="AD14 B182:B186 B164:B168 B188:B192 B13:B17 B19:B23 B25:B29 B31:B35 B37:B41 B43:B47 B49:B53 B55:B59 B6:B11 B68:B72 B74:B78 B80:B84 B86:B90 B92:B96 B98:B102 B104:B108 B116:B120 B110:B114 B122:B126 B128:B132 B134:B138 B140:B144 B146:B150 B152:B156 B158:B162 B176:B180 B170:B174 B61:B64 B66" xr:uid="{79C98235-B564-460D-91F8-590B205ACD90}">
      <formula1>$AD$15:$AD$67</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0"/>
      <c r="B1" s="311"/>
      <c r="C1" s="311"/>
      <c r="D1" s="311"/>
      <c r="E1" s="312"/>
      <c r="F1" s="17"/>
      <c r="G1" s="17"/>
      <c r="H1" s="17"/>
      <c r="I1" s="17"/>
      <c r="J1" s="17"/>
    </row>
    <row r="2" spans="1:10" ht="18.75" x14ac:dyDescent="0.3">
      <c r="A2" s="235" t="s">
        <v>0</v>
      </c>
      <c r="B2" s="236"/>
      <c r="C2" s="236"/>
      <c r="D2" s="236"/>
      <c r="E2" s="237"/>
      <c r="F2" s="17"/>
      <c r="G2" s="17"/>
      <c r="H2" s="17"/>
      <c r="I2" s="17"/>
      <c r="J2" s="17"/>
    </row>
    <row r="3" spans="1:10" ht="18.75" x14ac:dyDescent="0.3">
      <c r="A3" s="313" t="s">
        <v>48</v>
      </c>
      <c r="B3" s="314"/>
      <c r="C3" s="314"/>
      <c r="D3" s="314"/>
      <c r="E3" s="315"/>
      <c r="F3" s="18"/>
      <c r="G3" s="18"/>
      <c r="H3" s="18"/>
      <c r="I3" s="18"/>
      <c r="J3" s="18"/>
    </row>
    <row r="4" spans="1:10" ht="16.5" customHeight="1" x14ac:dyDescent="0.3">
      <c r="A4" s="235" t="s">
        <v>93</v>
      </c>
      <c r="B4" s="236"/>
      <c r="C4" s="236"/>
      <c r="D4" s="236"/>
      <c r="E4" s="237"/>
      <c r="F4" s="8"/>
      <c r="G4" s="8"/>
      <c r="H4" s="8"/>
      <c r="I4" s="8"/>
      <c r="J4" s="8"/>
    </row>
    <row r="5" spans="1:10" ht="18.75" x14ac:dyDescent="0.3">
      <c r="A5" s="235" t="s">
        <v>94</v>
      </c>
      <c r="B5" s="236"/>
      <c r="C5" s="236"/>
      <c r="D5" s="236"/>
      <c r="E5" s="237"/>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6" t="s">
        <v>27</v>
      </c>
      <c r="B53" s="317"/>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2025-12-01T19:00:15Z</dcterms:modified>
  <cp:category/>
  <cp:contentStatus/>
</cp:coreProperties>
</file>