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e book\NOW\FINAL FINAL\EBOOK TO PUB\SPREADSHEETS\8 Ego networks\"/>
    </mc:Choice>
  </mc:AlternateContent>
  <bookViews>
    <workbookView xWindow="0" yWindow="0" windowWidth="15150" windowHeight="12165"/>
  </bookViews>
  <sheets>
    <sheet name="Sheet1" sheetId="1" r:id="rId1"/>
  </sheets>
  <definedNames>
    <definedName name="_xlnm._FilterDatabase" localSheetId="0" hidden="1">Sheet1!$A$1:$L$955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7" i="1" l="1"/>
  <c r="G169" i="1"/>
  <c r="G191" i="1" l="1"/>
  <c r="G184" i="1"/>
  <c r="G167" i="1"/>
  <c r="G172" i="1"/>
  <c r="G181" i="1"/>
  <c r="G195" i="1"/>
  <c r="G200" i="1"/>
  <c r="G199" i="1"/>
  <c r="G202" i="1"/>
  <c r="G210" i="1"/>
  <c r="G212" i="1"/>
  <c r="G209" i="1"/>
  <c r="G168" i="1"/>
  <c r="G162" i="1"/>
  <c r="G159" i="1"/>
  <c r="G152" i="1"/>
  <c r="G143" i="1"/>
  <c r="G183" i="1"/>
  <c r="G194" i="1"/>
  <c r="G198" i="1"/>
  <c r="G187" i="1" l="1"/>
  <c r="G186" i="1"/>
  <c r="G189" i="1" l="1"/>
  <c r="G170" i="1"/>
  <c r="G163" i="1"/>
  <c r="G148" i="1"/>
  <c r="G228" i="1" l="1"/>
  <c r="K228" i="1"/>
  <c r="I228" i="1"/>
  <c r="G188" i="1" l="1"/>
  <c r="G211" i="1"/>
  <c r="G203" i="1"/>
  <c r="G204" i="1"/>
  <c r="G201" i="1"/>
  <c r="G180" i="1"/>
  <c r="G164" i="1"/>
  <c r="G161" i="1"/>
  <c r="G147" i="1"/>
  <c r="G146" i="1" l="1"/>
  <c r="G192" i="1"/>
  <c r="G213" i="1"/>
  <c r="G193" i="1"/>
  <c r="G206" i="1"/>
  <c r="G207" i="1"/>
  <c r="G208" i="1"/>
  <c r="I209" i="1"/>
  <c r="I212" i="1"/>
  <c r="I211" i="1"/>
  <c r="K210" i="1"/>
  <c r="I210" i="1"/>
  <c r="K208" i="1"/>
  <c r="I208" i="1"/>
  <c r="K213" i="1"/>
  <c r="I213" i="1"/>
  <c r="K207" i="1"/>
  <c r="I207" i="1"/>
  <c r="K206" i="1"/>
  <c r="I206" i="1"/>
  <c r="I202" i="1"/>
  <c r="K203" i="1"/>
  <c r="I203" i="1"/>
  <c r="G205" i="1" l="1"/>
  <c r="G190" i="1"/>
  <c r="G176" i="1"/>
  <c r="G174" i="1"/>
  <c r="G173" i="1"/>
  <c r="G175" i="1"/>
  <c r="G179" i="1"/>
  <c r="G185" i="1"/>
  <c r="G178" i="1"/>
  <c r="K201" i="1"/>
  <c r="I201" i="1"/>
  <c r="K204" i="1"/>
  <c r="I204" i="1"/>
  <c r="K205" i="1"/>
  <c r="I205" i="1"/>
  <c r="K199" i="1"/>
  <c r="I199" i="1"/>
  <c r="G182" i="1"/>
  <c r="G197" i="1"/>
  <c r="G196" i="1"/>
  <c r="I200" i="1"/>
  <c r="K198" i="1"/>
  <c r="I198" i="1"/>
  <c r="K197" i="1"/>
  <c r="I197" i="1"/>
  <c r="I194" i="1"/>
  <c r="K196" i="1"/>
  <c r="I196" i="1"/>
  <c r="I195" i="1"/>
  <c r="K193" i="1"/>
  <c r="I193" i="1"/>
  <c r="I191" i="1"/>
  <c r="K192" i="1"/>
  <c r="I192" i="1"/>
  <c r="I188" i="1"/>
  <c r="K189" i="1"/>
  <c r="I189" i="1"/>
  <c r="K190" i="1"/>
  <c r="I190" i="1"/>
  <c r="I187" i="1"/>
  <c r="I186" i="1"/>
  <c r="I185" i="1"/>
  <c r="I183" i="1"/>
  <c r="K182" i="1"/>
  <c r="I182" i="1"/>
  <c r="I184" i="1"/>
  <c r="K178" i="1"/>
  <c r="I178" i="1"/>
  <c r="K179" i="1"/>
  <c r="I179" i="1"/>
  <c r="I181" i="1"/>
  <c r="K180" i="1"/>
  <c r="I180" i="1"/>
  <c r="I177" i="1"/>
  <c r="K176" i="1"/>
  <c r="I176" i="1"/>
  <c r="K175" i="1"/>
  <c r="I175" i="1"/>
  <c r="K172" i="1"/>
  <c r="I172" i="1"/>
  <c r="K174" i="1"/>
  <c r="I174" i="1"/>
  <c r="K173" i="1"/>
  <c r="I173" i="1"/>
  <c r="G151" i="1"/>
  <c r="G145" i="1"/>
  <c r="G166" i="1"/>
  <c r="G171" i="1"/>
  <c r="G165" i="1"/>
  <c r="G153" i="1"/>
  <c r="G150" i="1"/>
  <c r="G149" i="1"/>
  <c r="G144" i="1"/>
  <c r="G141" i="1"/>
  <c r="G142" i="1"/>
  <c r="G158" i="1" l="1"/>
  <c r="G157" i="1"/>
  <c r="G155" i="1"/>
  <c r="G160" i="1"/>
  <c r="G156" i="1"/>
  <c r="G154" i="1"/>
  <c r="I168" i="1"/>
  <c r="I167" i="1"/>
  <c r="I170" i="1"/>
  <c r="K166" i="1"/>
  <c r="I166" i="1"/>
  <c r="I169" i="1"/>
  <c r="K171" i="1"/>
  <c r="I171" i="1"/>
  <c r="K163" i="1"/>
  <c r="I163" i="1"/>
  <c r="K164" i="1"/>
  <c r="I164" i="1"/>
  <c r="K165" i="1"/>
  <c r="I165" i="1"/>
  <c r="K160" i="1"/>
  <c r="I160" i="1"/>
  <c r="I162" i="1"/>
  <c r="K161" i="1"/>
  <c r="I161" i="1"/>
  <c r="I159" i="1"/>
  <c r="K158" i="1"/>
  <c r="I158" i="1"/>
  <c r="K157" i="1"/>
  <c r="I157" i="1"/>
  <c r="I155" i="1"/>
  <c r="K155" i="1"/>
  <c r="K154" i="1"/>
  <c r="I154" i="1"/>
  <c r="K156" i="1"/>
  <c r="I156" i="1"/>
  <c r="I152" i="1"/>
  <c r="K151" i="1"/>
  <c r="I151" i="1"/>
  <c r="K153" i="1"/>
  <c r="I153" i="1"/>
  <c r="I148" i="1"/>
  <c r="K146" i="1"/>
  <c r="I146" i="1"/>
  <c r="K147" i="1"/>
  <c r="I147" i="1"/>
  <c r="K150" i="1"/>
  <c r="I150" i="1"/>
  <c r="K149" i="1"/>
  <c r="I149" i="1"/>
  <c r="I143" i="1"/>
  <c r="K145" i="1"/>
  <c r="I145" i="1"/>
  <c r="I144" i="1"/>
  <c r="K144" i="1"/>
  <c r="I141" i="1"/>
  <c r="I142" i="1"/>
  <c r="G135" i="1" l="1"/>
  <c r="G139" i="1"/>
  <c r="G140" i="1"/>
  <c r="G136" i="1"/>
  <c r="G137" i="1"/>
  <c r="G138" i="1"/>
  <c r="G134" i="1"/>
  <c r="K139" i="1"/>
  <c r="I139" i="1"/>
  <c r="K140" i="1"/>
  <c r="I140" i="1"/>
  <c r="I135" i="1"/>
  <c r="K134" i="1"/>
  <c r="I134" i="1"/>
  <c r="K136" i="1"/>
  <c r="I136" i="1"/>
  <c r="K137" i="1"/>
  <c r="I137" i="1"/>
  <c r="K138" i="1"/>
  <c r="I138" i="1"/>
  <c r="G133" i="1"/>
  <c r="G130" i="1"/>
  <c r="G127" i="1"/>
  <c r="G125" i="1"/>
  <c r="G128" i="1"/>
  <c r="G122" i="1"/>
  <c r="G120" i="1"/>
  <c r="G124" i="1" l="1"/>
  <c r="G121" i="1"/>
  <c r="G123" i="1" l="1"/>
  <c r="G131" i="1" l="1"/>
  <c r="I133" i="1"/>
  <c r="K133" i="1"/>
  <c r="G126" i="1"/>
  <c r="K131" i="1"/>
  <c r="I131" i="1"/>
  <c r="I130" i="1"/>
  <c r="I127" i="1"/>
  <c r="I125" i="1"/>
  <c r="K128" i="1"/>
  <c r="I128" i="1"/>
  <c r="K126" i="1"/>
  <c r="I126" i="1"/>
  <c r="K124" i="1"/>
  <c r="I124" i="1"/>
  <c r="I123" i="1"/>
  <c r="K123" i="1"/>
  <c r="K122" i="1"/>
  <c r="I122" i="1"/>
  <c r="K121" i="1"/>
  <c r="I121" i="1"/>
  <c r="I120" i="1"/>
  <c r="G119" i="1" l="1"/>
  <c r="G117" i="1"/>
  <c r="G116" i="1"/>
  <c r="G115" i="1"/>
  <c r="G113" i="1"/>
  <c r="G114" i="1"/>
  <c r="I119" i="1"/>
  <c r="K119" i="1"/>
  <c r="K117" i="1"/>
  <c r="I117" i="1"/>
  <c r="I116" i="1"/>
  <c r="I115" i="1"/>
  <c r="I113" i="1"/>
  <c r="I114" i="1"/>
  <c r="G111" i="1" l="1"/>
  <c r="G112" i="1"/>
  <c r="G109" i="1"/>
  <c r="G110" i="1"/>
  <c r="G107" i="1"/>
  <c r="G108" i="1"/>
  <c r="I111" i="1"/>
  <c r="I112" i="1"/>
  <c r="K109" i="1"/>
  <c r="I109" i="1"/>
  <c r="K110" i="1"/>
  <c r="I110" i="1"/>
  <c r="K107" i="1"/>
  <c r="I107" i="1"/>
  <c r="K108" i="1"/>
  <c r="I108" i="1"/>
  <c r="G104" i="1" l="1"/>
  <c r="G103" i="1"/>
  <c r="G100" i="1"/>
  <c r="G99" i="1"/>
  <c r="K303" i="1" l="1"/>
  <c r="K71" i="1"/>
  <c r="G98" i="1"/>
  <c r="G101" i="1"/>
  <c r="G102" i="1"/>
  <c r="K104" i="1"/>
  <c r="I104" i="1"/>
  <c r="I103" i="1"/>
  <c r="K100" i="1"/>
  <c r="I100" i="1"/>
  <c r="K102" i="1"/>
  <c r="I102" i="1"/>
  <c r="I101" i="1"/>
  <c r="K101" i="1"/>
  <c r="I98" i="1"/>
  <c r="K98" i="1"/>
  <c r="I99" i="1"/>
  <c r="K99" i="1"/>
  <c r="G97" i="1" l="1"/>
  <c r="G94" i="1"/>
  <c r="G92" i="1"/>
  <c r="G96" i="1"/>
  <c r="G95" i="1"/>
  <c r="I97" i="1"/>
  <c r="K96" i="1"/>
  <c r="I96" i="1"/>
  <c r="K95" i="1"/>
  <c r="I95" i="1"/>
  <c r="G91" i="1"/>
  <c r="I94" i="1"/>
  <c r="I92" i="1"/>
  <c r="I91" i="1"/>
  <c r="G90" i="1" l="1"/>
  <c r="G89" i="1"/>
  <c r="G87" i="1"/>
  <c r="G88" i="1"/>
  <c r="G85" i="1"/>
  <c r="G86" i="1"/>
  <c r="G84" i="1"/>
  <c r="G83" i="1"/>
  <c r="G79" i="1"/>
  <c r="K90" i="1"/>
  <c r="I90" i="1"/>
  <c r="I89" i="1"/>
  <c r="K87" i="1"/>
  <c r="I87" i="1"/>
  <c r="I88" i="1"/>
  <c r="K85" i="1"/>
  <c r="I85" i="1"/>
  <c r="K86" i="1"/>
  <c r="I86" i="1"/>
  <c r="K84" i="1"/>
  <c r="I84" i="1"/>
  <c r="I83" i="1"/>
  <c r="K79" i="1"/>
  <c r="I79" i="1"/>
  <c r="G80" i="1" l="1"/>
  <c r="G81" i="1"/>
  <c r="G82" i="1"/>
  <c r="G78" i="1"/>
  <c r="I80" i="1"/>
  <c r="I81" i="1"/>
  <c r="I78" i="1"/>
  <c r="I82" i="1"/>
  <c r="K82" i="1"/>
  <c r="K78" i="1"/>
  <c r="G132" i="1" l="1"/>
  <c r="I132" i="1"/>
  <c r="K132" i="1"/>
  <c r="G303" i="1" l="1"/>
  <c r="I303" i="1"/>
  <c r="I76" i="1"/>
  <c r="I75" i="1"/>
  <c r="G76" i="1"/>
  <c r="G75" i="1"/>
  <c r="I74" i="1"/>
  <c r="G74" i="1"/>
  <c r="I73" i="1"/>
  <c r="G73" i="1"/>
  <c r="K76" i="1"/>
  <c r="K75" i="1"/>
  <c r="K74" i="1"/>
  <c r="K73" i="1"/>
  <c r="G59" i="1" l="1"/>
  <c r="G55" i="1"/>
  <c r="G53" i="1"/>
  <c r="G48" i="1"/>
  <c r="G71" i="1"/>
  <c r="G69" i="1"/>
  <c r="G67" i="1"/>
  <c r="G65" i="1"/>
  <c r="G63" i="1"/>
  <c r="I71" i="1"/>
  <c r="I69" i="1"/>
  <c r="I67" i="1"/>
  <c r="I65" i="1"/>
  <c r="I63" i="1"/>
  <c r="I62" i="1"/>
  <c r="G62" i="1"/>
  <c r="I60" i="1"/>
  <c r="G60" i="1"/>
  <c r="K69" i="1"/>
  <c r="K67" i="1"/>
  <c r="K63" i="1"/>
  <c r="K62" i="1"/>
  <c r="K60" i="1"/>
  <c r="G49" i="1" l="1"/>
  <c r="G50" i="1"/>
  <c r="G56" i="1"/>
  <c r="G57" i="1"/>
  <c r="G58" i="1"/>
  <c r="G54" i="1"/>
  <c r="G51" i="1"/>
  <c r="G52" i="1" l="1"/>
  <c r="K59" i="1"/>
  <c r="I59" i="1"/>
  <c r="K58" i="1"/>
  <c r="I58" i="1"/>
  <c r="I57" i="1"/>
  <c r="K57" i="1"/>
  <c r="K56" i="1"/>
  <c r="I56" i="1"/>
  <c r="K55" i="1"/>
  <c r="I55" i="1"/>
  <c r="K54" i="1"/>
  <c r="I54" i="1"/>
  <c r="I53" i="1"/>
  <c r="K52" i="1"/>
  <c r="I52" i="1"/>
  <c r="K51" i="1"/>
  <c r="I51" i="1"/>
  <c r="K48" i="1"/>
  <c r="I48" i="1"/>
  <c r="K49" i="1"/>
  <c r="I49" i="1"/>
  <c r="I50" i="1"/>
  <c r="K50" i="1"/>
  <c r="G105" i="1" l="1"/>
  <c r="I105" i="1"/>
  <c r="K105" i="1"/>
  <c r="G47" i="1" l="1"/>
  <c r="I47" i="1"/>
  <c r="K47" i="1"/>
  <c r="G44" i="1"/>
  <c r="G45" i="1"/>
  <c r="G43" i="1"/>
  <c r="G42" i="1"/>
  <c r="G40" i="1"/>
  <c r="I44" i="1"/>
  <c r="K45" i="1"/>
  <c r="I45" i="1"/>
  <c r="I43" i="1"/>
  <c r="K43" i="1"/>
  <c r="I42" i="1"/>
  <c r="K40" i="1"/>
  <c r="I40" i="1"/>
  <c r="I34" i="1" l="1"/>
  <c r="G34" i="1"/>
  <c r="I39" i="1"/>
  <c r="G39" i="1"/>
  <c r="I37" i="1"/>
  <c r="G37" i="1"/>
  <c r="K37" i="1"/>
  <c r="K34" i="1"/>
  <c r="I33" i="1"/>
  <c r="G33" i="1"/>
  <c r="K33" i="1"/>
  <c r="K32" i="1"/>
  <c r="I32" i="1"/>
  <c r="G32" i="1"/>
  <c r="I31" i="1" l="1"/>
  <c r="G31" i="1"/>
  <c r="K31" i="1"/>
  <c r="I29" i="1"/>
  <c r="G29" i="1"/>
  <c r="K29" i="1"/>
  <c r="K307" i="1"/>
  <c r="K298" i="1"/>
  <c r="K226" i="1"/>
  <c r="K129" i="1"/>
  <c r="K118" i="1"/>
  <c r="K93" i="1"/>
  <c r="K72" i="1"/>
  <c r="K66" i="1"/>
  <c r="K61" i="1"/>
  <c r="K46" i="1"/>
  <c r="K36" i="1"/>
  <c r="K35" i="1"/>
  <c r="K28" i="1"/>
  <c r="K20" i="1"/>
  <c r="K285" i="1"/>
  <c r="I285" i="1"/>
  <c r="K106" i="1"/>
  <c r="I106" i="1"/>
  <c r="K68" i="1"/>
  <c r="I68" i="1"/>
  <c r="K30" i="1" l="1"/>
  <c r="K38" i="1"/>
  <c r="K70" i="1"/>
  <c r="K26" i="1"/>
  <c r="K19" i="1"/>
  <c r="K18" i="1"/>
  <c r="K27" i="1" l="1"/>
  <c r="I27" i="1"/>
  <c r="G27" i="1"/>
  <c r="K25" i="1"/>
  <c r="I25" i="1"/>
  <c r="G25" i="1"/>
  <c r="K23" i="1"/>
  <c r="I23" i="1"/>
  <c r="G23" i="1"/>
  <c r="K24" i="1"/>
  <c r="K22" i="1"/>
  <c r="K21" i="1"/>
  <c r="I24" i="1"/>
  <c r="I22" i="1"/>
  <c r="I21" i="1"/>
  <c r="G24" i="1"/>
  <c r="G22" i="1"/>
  <c r="G21" i="1"/>
  <c r="I16" i="1"/>
  <c r="G16" i="1"/>
  <c r="K16" i="1"/>
  <c r="K7" i="1"/>
  <c r="K4" i="1"/>
  <c r="K64" i="1"/>
  <c r="I64" i="1"/>
  <c r="K41" i="1"/>
  <c r="I41" i="1"/>
  <c r="K15" i="1"/>
  <c r="I15" i="1"/>
  <c r="G15" i="1"/>
  <c r="K14" i="1"/>
  <c r="I14" i="1"/>
  <c r="G14" i="1"/>
  <c r="K13" i="1"/>
  <c r="I13" i="1"/>
  <c r="G13" i="1"/>
  <c r="K12" i="1"/>
  <c r="I12" i="1"/>
  <c r="G12" i="1"/>
  <c r="G17" i="1"/>
  <c r="I17" i="1"/>
  <c r="K17" i="1"/>
  <c r="K10" i="1"/>
  <c r="I10" i="1"/>
  <c r="G10" i="1"/>
  <c r="I6" i="1"/>
  <c r="G6" i="1"/>
  <c r="K6" i="1"/>
  <c r="K3" i="1" l="1"/>
  <c r="K5" i="1"/>
  <c r="K77" i="1"/>
  <c r="K11" i="1"/>
  <c r="K9" i="1"/>
  <c r="K8" i="1"/>
  <c r="K2" i="1"/>
  <c r="I72" i="1" l="1"/>
  <c r="I226" i="1"/>
  <c r="I298" i="1"/>
  <c r="I307" i="1"/>
  <c r="I70" i="1"/>
  <c r="I36" i="1"/>
  <c r="I129" i="1"/>
  <c r="I93" i="1"/>
  <c r="I77" i="1"/>
  <c r="I118" i="1"/>
  <c r="I66" i="1"/>
  <c r="I61" i="1"/>
  <c r="I46" i="1"/>
  <c r="I35" i="1"/>
  <c r="I28" i="1"/>
  <c r="I38" i="1"/>
  <c r="I30" i="1"/>
  <c r="I26" i="1"/>
  <c r="I19" i="1"/>
  <c r="I20" i="1"/>
  <c r="I18" i="1"/>
  <c r="I11" i="1"/>
  <c r="I9" i="1"/>
  <c r="I5" i="1"/>
  <c r="I8" i="1"/>
  <c r="I7" i="1"/>
  <c r="I4" i="1"/>
  <c r="I2" i="1"/>
  <c r="I3" i="1"/>
  <c r="G5" i="1" l="1"/>
  <c r="G3" i="1"/>
  <c r="G7" i="1"/>
  <c r="G20" i="1"/>
  <c r="G19" i="1"/>
  <c r="G9" i="1"/>
  <c r="G46" i="1"/>
  <c r="G77" i="1"/>
  <c r="G66" i="1"/>
  <c r="G4" i="1"/>
  <c r="G93" i="1"/>
  <c r="G41" i="1"/>
  <c r="G28" i="1"/>
  <c r="G26" i="1"/>
  <c r="G72" i="1"/>
  <c r="G129" i="1"/>
  <c r="G118" i="1"/>
  <c r="G8" i="1"/>
  <c r="G70" i="1"/>
  <c r="G298" i="1"/>
  <c r="G11" i="1"/>
  <c r="G226" i="1" l="1"/>
  <c r="G61" i="1"/>
  <c r="G285" i="1"/>
  <c r="G106" i="1"/>
  <c r="G36" i="1"/>
  <c r="G18" i="1"/>
</calcChain>
</file>

<file path=xl/sharedStrings.xml><?xml version="1.0" encoding="utf-8"?>
<sst xmlns="http://schemas.openxmlformats.org/spreadsheetml/2006/main" count="558" uniqueCount="418">
  <si>
    <t>Osbert, abbot of Jedburgh (d.1174)</t>
  </si>
  <si>
    <t>Ingram, bp. Glasgow (d. 1174)</t>
  </si>
  <si>
    <t>Herbert, bp. Glasgow (d. 1164)</t>
  </si>
  <si>
    <t>William fitz Duncan (d. ca 1151×54)</t>
  </si>
  <si>
    <t>Person</t>
  </si>
  <si>
    <t>ID</t>
  </si>
  <si>
    <t>Density</t>
  </si>
  <si>
    <t>Density divided by Size</t>
  </si>
  <si>
    <t>Walter Corbet</t>
  </si>
  <si>
    <t>William de Vaux</t>
  </si>
  <si>
    <t>Richard, bp. St Andrews</t>
  </si>
  <si>
    <t>Gilbert, earl of Strathearn (d. 1223)</t>
  </si>
  <si>
    <t>Malise, son of Ferteth earl of Strathearn (d.a.1214)</t>
  </si>
  <si>
    <t>Duncan (I), earl of Fife (d. 1154)</t>
  </si>
  <si>
    <t>Malcolm (I), earl of Fife (d.1229)</t>
  </si>
  <si>
    <t>Laurence Abernethy (fl.1180s×1230s)</t>
  </si>
  <si>
    <t>Malcolm, earl of Atholl (d.c.1197)</t>
  </si>
  <si>
    <t>Hugh de Moreville (I) (d.1162)</t>
  </si>
  <si>
    <t>Alan Stewart, son of Walter (d.1204)</t>
  </si>
  <si>
    <t>Matthew, bishop of Aberdeen (d.1199)</t>
  </si>
  <si>
    <t>Ness, son of William, lord of Leuchars (d.1178×83)</t>
  </si>
  <si>
    <t>Walter Barclay, chamberlain (d.c.1193)</t>
  </si>
  <si>
    <t>Robert de Quincy (d.1200)</t>
  </si>
  <si>
    <t>Philip de Valognes, chamberlain (d.1215)</t>
  </si>
  <si>
    <t>William Comyn, earl of Buchan (d.1233)</t>
  </si>
  <si>
    <t>William Hay (I), lord of Errol (d.c.1201)</t>
  </si>
  <si>
    <t>William del Bois, chancellor (d.1232)</t>
  </si>
  <si>
    <t>David, earl of Huntingdon (d. 1219)</t>
  </si>
  <si>
    <t>Hugh de Sigillo, bishop of Dunkeld (d.1229 or 1230)</t>
  </si>
  <si>
    <t>William Malveisin, bishop of St Andrews (d.1238)</t>
  </si>
  <si>
    <t>Gilla Brigte, earl of Angus (d.×1189)</t>
  </si>
  <si>
    <t>Andrew, bishop of Caithness (d.1184)</t>
  </si>
  <si>
    <t>Witnessing (SD)</t>
  </si>
  <si>
    <t>Degree / charters witnessed</t>
  </si>
  <si>
    <t>Walter of St Albans, bishop of Glasgow (d.1232)</t>
  </si>
  <si>
    <t>Non-royal charters as percentage of whole W</t>
  </si>
  <si>
    <t>Jocelin, bishop of Glasgow (d.1199)</t>
  </si>
  <si>
    <t>Richard de Prebenda, bishop of Dunkeld (d.1210)</t>
  </si>
  <si>
    <t>Patrick (I), earl of Dunbar (d.1232)</t>
  </si>
  <si>
    <t>John Scott, bishop of Dunkeld (d.1203)</t>
  </si>
  <si>
    <t>Walter Oliphant, justiciar of Lothian (son of Walter) (d.1242)</t>
  </si>
  <si>
    <t>William I, king of Scots (d.1214)</t>
  </si>
  <si>
    <t>Size of Network (Degree)</t>
  </si>
  <si>
    <t>Walter Lindsay (III), son of William (II) (d.c.1222)</t>
  </si>
  <si>
    <t>Simon, archdeacon of Glasgow (fl.1165×74-1195×96)</t>
  </si>
  <si>
    <t>Ranulf de Wat, archdeacon of St Andrews (d.1209)</t>
  </si>
  <si>
    <t>John Maxwell, chamberlain, sheriff of Roxburgh (d.1241)</t>
  </si>
  <si>
    <t>Andrew Murray, bishop of Moray (d.1242)</t>
  </si>
  <si>
    <t>Patrick (II), earl of Dunbar (d.1248)</t>
  </si>
  <si>
    <t>Percent</t>
  </si>
  <si>
    <t>Donnchad (II) earl of Fife (d. 1204)</t>
  </si>
  <si>
    <t>non-royal W?</t>
  </si>
  <si>
    <t>Walter son of Alan, steward (d. 1177)</t>
  </si>
  <si>
    <t>Richard de Moreville, constable (d. 1189 or 90)</t>
  </si>
  <si>
    <t>Nicholas of Roxburgh, chancellor (d. 1171?)</t>
  </si>
  <si>
    <t>Walter de Bidun, chancellor (d. 1178)</t>
  </si>
  <si>
    <t>Countess Ada (d. 1178)</t>
  </si>
  <si>
    <t>Andrew, archdeacon of Lothian (fl.1147×59-1178×84)</t>
  </si>
  <si>
    <t>David Hay, lord of Errol (d.1237×41)</t>
  </si>
  <si>
    <t>Hugh of Roxburgh, bishop-elect of Glasgow (d.1199)</t>
  </si>
  <si>
    <t>Walter Stewart (II), son of Alan (d.1241)</t>
  </si>
  <si>
    <t>John of Huntingdon, master, official of Glasgow (fl.1179×1208)</t>
  </si>
  <si>
    <t>Robert of London (d.1225)</t>
  </si>
  <si>
    <t>John of Leicester, bishop of Dunkeld (d.1214)</t>
  </si>
  <si>
    <t>Aiulf, dean of Lothian (fl.1150/51-1186)</t>
  </si>
  <si>
    <t>Alan, son of Cospatric of Swinton</t>
  </si>
  <si>
    <t>Robert, archdeacon of Glasgow (d.1222)</t>
  </si>
  <si>
    <t>John Hay (I), lord of Naughton (d.×Oct.1266)</t>
  </si>
  <si>
    <t>Laurence of Thornton, archdeacon of St Andrews (d.1238×40)</t>
  </si>
  <si>
    <t>David de Bonville, marischal (fl.late 12C-mid13C)</t>
  </si>
  <si>
    <t>Alexander Comyn, earl of Buchan (d.1289), justiciar</t>
  </si>
  <si>
    <t>Ralph, bishop of Brechin  (d.1212×14)</t>
  </si>
  <si>
    <t>Gervase Avenel, lord of Eskdale (d.1219)</t>
  </si>
  <si>
    <t>Bernard of Hadden, sheriff of Roxburgh</t>
  </si>
  <si>
    <t>Archibald, abbot of Dunfermline (d.1198)</t>
  </si>
  <si>
    <t>John, abbot of Kelso (d.1180)</t>
  </si>
  <si>
    <t>Hugh Gifford, lord of Yester</t>
  </si>
  <si>
    <t>Alexander, son of William, sheriff of Stirling</t>
  </si>
  <si>
    <t>Osbert, abbot of Kelso (d.1203)</t>
  </si>
  <si>
    <t>Henry, abbot of Arbroath (fl.1179-1207)</t>
  </si>
  <si>
    <t>Philip de Mowbray</t>
  </si>
  <si>
    <t>Alexander, chaplain of bishops of St Andrews (12C)</t>
  </si>
  <si>
    <t>Patrick, son of Adam son of Aldan the steward</t>
  </si>
  <si>
    <t>Walter Comyn, earl of Menteith (d.1258)</t>
  </si>
  <si>
    <t>Alexander de St Martin, sheriff</t>
  </si>
  <si>
    <t>Richard of Lincoln, bishop of Moray (d.1203)</t>
  </si>
  <si>
    <t>Herbert, dean of Glasgow (fl.1179×89-1204×07)</t>
  </si>
  <si>
    <t>William de Somerville (I)</t>
  </si>
  <si>
    <t>Ingram Balliol (d.1239×44)</t>
  </si>
  <si>
    <t>Guy, abbot of Lindores (d.1219)</t>
  </si>
  <si>
    <t>Geoffrey (I) Melville</t>
  </si>
  <si>
    <t>Roger de Mortimer (d.1217×27)</t>
  </si>
  <si>
    <t>Henry of Stirling, son of Earl David</t>
  </si>
  <si>
    <t>Herbert Scott, master, clerk (fl.1144×59-1172×78)</t>
  </si>
  <si>
    <t>Henry of Brechin, son of Earl David (d.c.1245)</t>
  </si>
  <si>
    <t>Henry (of Brechin or Stirling?), son of Earl David</t>
  </si>
  <si>
    <t>William of Bondington, bishop of Glasgow (d.1258)</t>
  </si>
  <si>
    <t>Merleswain, son of Colban, lord of Kennoway (fl.1150s-90s)</t>
  </si>
  <si>
    <t>Isaac Scott, master, clerk</t>
  </si>
  <si>
    <t>Elias of Prenderguest</t>
  </si>
  <si>
    <t>Robert Crook, knight (12C)</t>
  </si>
  <si>
    <t>Elias of Partick, clerk, canon (son of Fulbert)</t>
  </si>
  <si>
    <t>David Oliphant (12C)</t>
  </si>
  <si>
    <t>Robert, son of Saewulf, bishop's chancellor</t>
  </si>
  <si>
    <t>Adam of Ceres, knight (fl.1154×1200)</t>
  </si>
  <si>
    <t>Andrew, dean of Lothian/Tyninghame (fl.1194-1214)</t>
  </si>
  <si>
    <t>Duncan, son of Earl Duncan (II) of Fife</t>
  </si>
  <si>
    <t>William of Ednam, master, archdeacon of Dunkeld (d.1251×57)</t>
  </si>
  <si>
    <t>Thomas Colville 'Scot', lord of Keresban (d.1219)</t>
  </si>
  <si>
    <t>Stephen of Lilliesleaf, master, clerk, persona</t>
  </si>
  <si>
    <t>Henry of Prenderguest (I)</t>
  </si>
  <si>
    <t>Peter, chaplain and clerk of Bishop Malveisin</t>
  </si>
  <si>
    <t>Robert Barclay, brother of Walter</t>
  </si>
  <si>
    <t>Walter of Roxburgh, archdeacon of St Andrews (fl.1165×72-1179×88)</t>
  </si>
  <si>
    <t>Henry, archdeacon of Dunkeld (fl.1183×1203-1220×25)</t>
  </si>
  <si>
    <t>Gregory, bishop of Dunkeld (d.1169)</t>
  </si>
  <si>
    <t>William Lindsay (I)</t>
  </si>
  <si>
    <t>Geoffrey, abbot of Dunfermline (d.1178)</t>
  </si>
  <si>
    <t>Richard Comyn (d.c.1179)</t>
  </si>
  <si>
    <t>Robert Avenel, lord of Eskdale (d.1185)</t>
  </si>
  <si>
    <t>Alan of Thirlestane (son of Aelsi)</t>
  </si>
  <si>
    <t>Thorald, archdeacon of Lothian (d.1163 or 1166)</t>
  </si>
  <si>
    <t>William de Moreville (d.1196)</t>
  </si>
  <si>
    <t>Gilbert of Stirling, bishop of Aberdeen (d.1239)</t>
  </si>
  <si>
    <t>William Gifford, son of Hugh Gifford, lord of Yester</t>
  </si>
  <si>
    <t>William Lindsay (IV), son of Walter (III) (d.c.1247)</t>
  </si>
  <si>
    <t>Adam of Kilconquhar, brother of Earl Duncan (father of Duncan)</t>
  </si>
  <si>
    <t>Roger de Merlay (II) (d.c.1239), steward of Earl Patrick</t>
  </si>
  <si>
    <t>Walter, clerk of Bishops Ingram and Jocelin</t>
  </si>
  <si>
    <t>Richard Nanus (le Nain)</t>
  </si>
  <si>
    <t>William of Greenlaw, master (d.1247)</t>
  </si>
  <si>
    <t>Adam of Little Reston</t>
  </si>
  <si>
    <t>John (I) Hastings, sheriff (12/13C)</t>
  </si>
  <si>
    <t>Gilbert de Umfraville (fl.c.1140-90)</t>
  </si>
  <si>
    <t>Edward Murray, master, canon, bishop's clerk</t>
  </si>
  <si>
    <t>Walter, prior of St Andrews (fl.1160-1198×99)</t>
  </si>
  <si>
    <t>John, abbot of Lindores (fl.1219-44)</t>
  </si>
  <si>
    <t>Roger de Quincy, earl of Winchester (d.1264)</t>
  </si>
  <si>
    <t>Geoffrey de Liberatione, bishop of Dunkeld (d.1249)</t>
  </si>
  <si>
    <t>William de Valognes (d.1219)</t>
  </si>
  <si>
    <t>David Lindsay (I), son of William (II) (d.c.1220)</t>
  </si>
  <si>
    <t>Adam of Makerstoun, master, provost (d.1280×86)</t>
  </si>
  <si>
    <t>Elias of Ayton (father of John)</t>
  </si>
  <si>
    <t>William of Wyville, knight</t>
  </si>
  <si>
    <t>Robert Mowat, knight, justiciar, sheriff of Forfar</t>
  </si>
  <si>
    <t>William, abbot of Holyrood (II) (fl.1187×89-1206)</t>
  </si>
  <si>
    <t>Waltheof, earl of Dunbar (d.1182)</t>
  </si>
  <si>
    <t>Walter Oliphant, elder</t>
  </si>
  <si>
    <t>Hugh, king's chaplain (TRW)</t>
  </si>
  <si>
    <t>Robert Menzies (d.1267)</t>
  </si>
  <si>
    <t>Henry, son of Geoffrey de Liberatione of Perth</t>
  </si>
  <si>
    <t>Thomas of Stirling, clerk, archdeacon of Glasgow (d.1227)</t>
  </si>
  <si>
    <t>Philip Melville, justiciar of Scotia</t>
  </si>
  <si>
    <t>Odo of Kinninmonth, steward, marischal (d.c.1195)</t>
  </si>
  <si>
    <t>William Wascelin, knight</t>
  </si>
  <si>
    <t>William, chaplain (II) of King William (c.1196-1214)</t>
  </si>
  <si>
    <t>Jocelin, archdeacon of Dunkeld (fl.1165×67-1193/4)</t>
  </si>
  <si>
    <t>Luke, chaplain of Paisley</t>
  </si>
  <si>
    <t>Arnold, bishop of St Andrews (d.1162)</t>
  </si>
  <si>
    <t>Cospatric, earl of Dunbar (d.1166)</t>
  </si>
  <si>
    <t>Thomas Hay (son of William)</t>
  </si>
  <si>
    <t>John de Vaux, knight (fl.1213-55)</t>
  </si>
  <si>
    <t>Gregory of Coldingham, steward</t>
  </si>
  <si>
    <t>Alured, abbot of Cambuskenneth (fl.1152×53-1172×78)</t>
  </si>
  <si>
    <t>Adam, son of Gilbert, son of Richer, lord of Kilbucho</t>
  </si>
  <si>
    <t xml:space="preserve">Adam of Prenderguest </t>
  </si>
  <si>
    <t>Roland (Lachlan), lord of Galloway (d.1200)</t>
  </si>
  <si>
    <t>Alan Durward (d.1275)</t>
  </si>
  <si>
    <t>Robert, earl of Strathearn (1223-45)</t>
  </si>
  <si>
    <t>Walter Bisset (13C)</t>
  </si>
  <si>
    <t>Gamelin, bishop of St Andrews (d.1271)</t>
  </si>
  <si>
    <t>Adam of Hirsel, master, persona (fl.1180×1232)</t>
  </si>
  <si>
    <t>Roger of Wilton, knight</t>
  </si>
  <si>
    <t>Angier, master (fl.1180-1203×09)</t>
  </si>
  <si>
    <t>Alan, lord of Galloway (d.1234)</t>
  </si>
  <si>
    <t>Roger Avenel, sheriff (d.1243)</t>
  </si>
  <si>
    <t>Robert Hay, clerk (son of William)</t>
  </si>
  <si>
    <t>Malcolm Lockhart (12C/13C)</t>
  </si>
  <si>
    <t>Hugh Ridel (I)</t>
  </si>
  <si>
    <t>William, clerk, steward of Bishop Jocelin</t>
  </si>
  <si>
    <t>William, son of Earl Patrick (I) (d.1253)</t>
  </si>
  <si>
    <t>Adam, son of Aldan the Steward</t>
  </si>
  <si>
    <t>William Francis (the Frenchman)</t>
  </si>
  <si>
    <t>Thomas of Nisbet</t>
  </si>
  <si>
    <t>Ranulf Soulis, king's butler (d.1165×72)</t>
  </si>
  <si>
    <t>Roger, bishop of St Andrews (d.1202)</t>
  </si>
  <si>
    <t>Hugh, king's clerk (TRW)</t>
  </si>
  <si>
    <t>William of Brechin, knight</t>
  </si>
  <si>
    <t>William of Mordington</t>
  </si>
  <si>
    <t>Robert, son of Gregory steward of Coldingham</t>
  </si>
  <si>
    <t>Richard, son of Guy, marischal of King William</t>
  </si>
  <si>
    <t>William of Hailes, master, dean of St Andrews (fl.1189×98)</t>
  </si>
  <si>
    <t>William of Hownam, son of John, son of Orm (d.1227)</t>
  </si>
  <si>
    <t>Gilbert Hay (I), lord of Errol (d.1263) (son of David)</t>
  </si>
  <si>
    <t>Abraham of Dunkeld, master, canon (fl.1162×78)</t>
  </si>
  <si>
    <t>John Cameron, sheriff of Perth</t>
  </si>
  <si>
    <t>Ness, son of Ness of Waughton</t>
  </si>
  <si>
    <t>Gregory, bishop of Brechin (fl.1189×98-1242×46)</t>
  </si>
  <si>
    <t>Gilbert of Lumsdaine</t>
  </si>
  <si>
    <t>Simon, archdeacon of Aberdeen (fl.1189×96-1202×03)</t>
  </si>
  <si>
    <t>Hugh, abbot of Newbattle (fl.1179-1201)</t>
  </si>
  <si>
    <t>David Graham, lord of Lovat (d.c.1272)</t>
  </si>
  <si>
    <t>Adam, steward of Arbroath (son of Aldan)</t>
  </si>
  <si>
    <t>Thomas Randolph (d.c.1296)</t>
  </si>
  <si>
    <t>Hugh, king's chaplain and clerk (episcopal witness)</t>
  </si>
  <si>
    <t xml:space="preserve">David, lord of Strathbogie, son of Earl Duncan (II) </t>
  </si>
  <si>
    <t>William of Gullane, rector of Gullane</t>
  </si>
  <si>
    <t>John, bishop of Glasgow (d.1147)</t>
  </si>
  <si>
    <t>Henry of Prenderguest (II) knight</t>
  </si>
  <si>
    <t>William, earl of Mar (d.a.1281)</t>
  </si>
  <si>
    <t>Ralph de Campania (Champagne)</t>
  </si>
  <si>
    <t>John, dean of Fogo (fl.1194-c.1220)</t>
  </si>
  <si>
    <t>Roger, son of Glay</t>
  </si>
  <si>
    <t>Robert II, abbot of Scone (d.1186)</t>
  </si>
  <si>
    <t>Philip Colville</t>
  </si>
  <si>
    <t>David of Lochore, knight</t>
  </si>
  <si>
    <t>Lay family</t>
  </si>
  <si>
    <t>FIFE</t>
  </si>
  <si>
    <t>MOWAT</t>
  </si>
  <si>
    <t>MAXWELL</t>
  </si>
  <si>
    <t>OLIPHANT</t>
  </si>
  <si>
    <t>COMYN</t>
  </si>
  <si>
    <t>MELVILLE</t>
  </si>
  <si>
    <t>CAMERON</t>
  </si>
  <si>
    <t>DUNBAR</t>
  </si>
  <si>
    <t>STEWART</t>
  </si>
  <si>
    <t>HAY</t>
  </si>
  <si>
    <t>LINDSAY</t>
  </si>
  <si>
    <t>HADDEN</t>
  </si>
  <si>
    <t>STIRLING</t>
  </si>
  <si>
    <t>BRECHIN</t>
  </si>
  <si>
    <t>MERLAY</t>
  </si>
  <si>
    <t>STRATHEARN</t>
  </si>
  <si>
    <t>DURWARD</t>
  </si>
  <si>
    <t>MENZIES</t>
  </si>
  <si>
    <t>THIRLESTANE</t>
  </si>
  <si>
    <t>VALOGNES</t>
  </si>
  <si>
    <t>MAR</t>
  </si>
  <si>
    <t>NEAME</t>
  </si>
  <si>
    <t>SWINTON</t>
  </si>
  <si>
    <t>monastic</t>
  </si>
  <si>
    <t>HOWNAM</t>
  </si>
  <si>
    <t>ST MARTIN</t>
  </si>
  <si>
    <t>CERES</t>
  </si>
  <si>
    <t>CROOK</t>
  </si>
  <si>
    <t>BALLIOL</t>
  </si>
  <si>
    <t>AVENEL</t>
  </si>
  <si>
    <t>WYVILLE</t>
  </si>
  <si>
    <t>MORDINGTON</t>
  </si>
  <si>
    <t>BONVILLE</t>
  </si>
  <si>
    <t>QUINCY</t>
  </si>
  <si>
    <t>COLVILLE</t>
  </si>
  <si>
    <t>PRENDERGUEST</t>
  </si>
  <si>
    <t>BRECHIN/STIRLING</t>
  </si>
  <si>
    <t>WASCELIN</t>
  </si>
  <si>
    <t>BISSET</t>
  </si>
  <si>
    <t>GIFFORD</t>
  </si>
  <si>
    <t>ABERNETHY</t>
  </si>
  <si>
    <t>MOWBRAY</t>
  </si>
  <si>
    <t>BOYLE</t>
  </si>
  <si>
    <t>MORVILLE</t>
  </si>
  <si>
    <t>ROYAL</t>
  </si>
  <si>
    <t>MORTIMER</t>
  </si>
  <si>
    <t>SOMERVILLE</t>
  </si>
  <si>
    <t>KENNOWAY</t>
  </si>
  <si>
    <t>KINNINMONTH</t>
  </si>
  <si>
    <t>VAUX</t>
  </si>
  <si>
    <t>GALLOWAY</t>
  </si>
  <si>
    <t>CORBET</t>
  </si>
  <si>
    <t>RESTON</t>
  </si>
  <si>
    <t>LEUCHARS</t>
  </si>
  <si>
    <t>ATHOLL</t>
  </si>
  <si>
    <t>HASTINGS</t>
  </si>
  <si>
    <t>AYTON</t>
  </si>
  <si>
    <t>UMFRAVILLE</t>
  </si>
  <si>
    <t>RIDEL</t>
  </si>
  <si>
    <t>BARCLAY</t>
  </si>
  <si>
    <t>SOULIS</t>
  </si>
  <si>
    <t>ANGUS</t>
  </si>
  <si>
    <t>secular</t>
  </si>
  <si>
    <t>royal</t>
  </si>
  <si>
    <t>category</t>
  </si>
  <si>
    <t>magnate</t>
  </si>
  <si>
    <t>archdeacon</t>
  </si>
  <si>
    <t>king</t>
  </si>
  <si>
    <t>household officer</t>
  </si>
  <si>
    <t>chancellor</t>
  </si>
  <si>
    <t>official</t>
  </si>
  <si>
    <t>tenant in chief</t>
  </si>
  <si>
    <t>son of king</t>
  </si>
  <si>
    <t>tenant in chief (?)</t>
  </si>
  <si>
    <t>knight of magnate</t>
  </si>
  <si>
    <t>Robert of Roos (III) of Wark (d.c.1270)</t>
  </si>
  <si>
    <t>Peter Haig (early 13C)</t>
  </si>
  <si>
    <t>John, bishop of Aberdeen (d.1207)</t>
  </si>
  <si>
    <t>Adam of Harcarse, abbot of Melrose (d.1245)</t>
  </si>
  <si>
    <t>Robert Bruce II (d.1194)</t>
  </si>
  <si>
    <t>David of Bernham, bishop of St Andrews (d.1253)</t>
  </si>
  <si>
    <t>Henry of Carmunnock</t>
  </si>
  <si>
    <t>Adam, son of Odo of Kinninmonth</t>
  </si>
  <si>
    <t>William of Lyne, master (fl.1197-1202)</t>
  </si>
  <si>
    <t>Alan Montgomery, knight</t>
  </si>
  <si>
    <t>RANDOLPH</t>
  </si>
  <si>
    <t>HAIG</t>
  </si>
  <si>
    <t>LOCHORE</t>
  </si>
  <si>
    <t>ROOS</t>
  </si>
  <si>
    <t>BRUCE</t>
  </si>
  <si>
    <t>CARMUNNOCK</t>
  </si>
  <si>
    <t>MONTGMERY</t>
  </si>
  <si>
    <t>CHAMPAGNE</t>
  </si>
  <si>
    <t>LOCKHART</t>
  </si>
  <si>
    <t>dean</t>
  </si>
  <si>
    <t>chaplain</t>
  </si>
  <si>
    <t>magister</t>
  </si>
  <si>
    <t>bishop</t>
  </si>
  <si>
    <t>sheriff</t>
  </si>
  <si>
    <t>clerk</t>
  </si>
  <si>
    <t>constable</t>
  </si>
  <si>
    <t>William Lindsay (II) (d.c.1205), justice</t>
  </si>
  <si>
    <t>Henry Balliol (d. 1246)</t>
  </si>
  <si>
    <t>chamberlain</t>
  </si>
  <si>
    <t>William, abbot of Holyrood (I) (d.1172)</t>
  </si>
  <si>
    <t>Amfred, abbot of Newbattle (d.1179)</t>
  </si>
  <si>
    <t>Gilchrist, earl of Mar</t>
  </si>
  <si>
    <t>Hugh of Calder</t>
  </si>
  <si>
    <t>Robert de Cotentin</t>
  </si>
  <si>
    <t>Ralph, king's chaplain (TRA2)</t>
  </si>
  <si>
    <t>Michael, master, clerk, chaplain (fl.1201-1220×25)</t>
  </si>
  <si>
    <t>Hugh, steward of bishops of St Andrews</t>
  </si>
  <si>
    <t>Ralph, clerk of Bishop Roger of St Andrews</t>
  </si>
  <si>
    <t>Thomas, son of Ranulf (d. 1262)</t>
  </si>
  <si>
    <t>Reginald of Little Reston (brother of Aldan)</t>
  </si>
  <si>
    <t>Alan of Harcarse, knight</t>
  </si>
  <si>
    <t>Maurice, son of Master Merlin</t>
  </si>
  <si>
    <t>Malcolm Beg, son of Gillespie Galbraith</t>
  </si>
  <si>
    <t>Richard of Ancrum, dean, official, persona (fl.1202-26)</t>
  </si>
  <si>
    <t>Arnold, abbot of Rievaulx (1189-99)</t>
  </si>
  <si>
    <t>Hugh, bishop of St Andrews (d.1188)</t>
  </si>
  <si>
    <t>Jonathan, bishop of Dunblane (d.1209/10)</t>
  </si>
  <si>
    <t>Walter Murdoch</t>
  </si>
  <si>
    <t>William, bishop of Moray (d.1162)</t>
  </si>
  <si>
    <t>Ascelin, archdeacon of Glasgow (fl.1126×7-1153×9)</t>
  </si>
  <si>
    <t>Thomas Durward (d.1228×33)</t>
  </si>
  <si>
    <t>Simon de Noisy, clerk of Bishop William of St Andrews</t>
  </si>
  <si>
    <t>Turpin, bishop of Brechin  (fl.1165×69-1189×98)</t>
  </si>
  <si>
    <t>Gilbert, archdeacon of Dunblane (fl.1203×10-1235×39)</t>
  </si>
  <si>
    <t>Richard, son of Hugh de Camera</t>
  </si>
  <si>
    <t>Matthew Scott, bishop-elect of Dunkeld (d.1230)</t>
  </si>
  <si>
    <t>Walter, abbot of Holyrood (d.1217 or 1218)</t>
  </si>
  <si>
    <t>Henry, abbot of Kelso (d.1218)</t>
  </si>
  <si>
    <t>Brice Douglas, bishop of Moray (d.1222)</t>
  </si>
  <si>
    <t>Saer de Quincy, earl of Winchester (d.1219)</t>
  </si>
  <si>
    <t>William, son of Thor, sheriff of Stirling</t>
  </si>
  <si>
    <t>William, son of King Duncan II (d.1151×4)</t>
  </si>
  <si>
    <t>Patrick (III), earl of Dunbar (d.1289)</t>
  </si>
  <si>
    <t>Marchisius de Aubini (d.1216×25)</t>
  </si>
  <si>
    <t>Robert, bishop of Ross (d.1249)</t>
  </si>
  <si>
    <t>William de Montfort</t>
  </si>
  <si>
    <t>Patrick, son of Cospatric, earl of Dunbar</t>
  </si>
  <si>
    <t>Richard Revel, lord of Coultra (d.1215×25)</t>
  </si>
  <si>
    <t>Philip of Lundin (13C)</t>
  </si>
  <si>
    <t>Reginald, bishop of Ross (d.1213)</t>
  </si>
  <si>
    <t>Reginald Crawford, sheriff of Ayr (early 13C)</t>
  </si>
  <si>
    <t>John of Stirling, knight, sheriff of Stirling</t>
  </si>
  <si>
    <t>Geoffrey, son of Richard, of Inverkunglas, sheriff</t>
  </si>
  <si>
    <t>Robert of Upsettlington, sheriff of Berwick</t>
  </si>
  <si>
    <t>John of Roxburgh, master, treasurer of Glasgow (d.1196)</t>
  </si>
  <si>
    <t>William de Mortimer (12C)</t>
  </si>
  <si>
    <t>John of London (?d.a.1190)</t>
  </si>
  <si>
    <t>Ilbert, prior of Haddington</t>
  </si>
  <si>
    <t>Merlin, master (fl.1161×62-1189×1203)</t>
  </si>
  <si>
    <t>Hugh of Potton, archdeacon of Glasgow (d.1238)</t>
  </si>
  <si>
    <t>Clement, bishop of Dunblane (d.1258)</t>
  </si>
  <si>
    <t>Archibald Douglas</t>
  </si>
  <si>
    <t>Bede, canon of Glasgow</t>
  </si>
  <si>
    <t>Simon Fraser (d.1291×92)</t>
  </si>
  <si>
    <t>Malcolm (of Leslie), son of Bertolf (d.c.1200)</t>
  </si>
  <si>
    <t>Herbert, king's chamberlain</t>
  </si>
  <si>
    <t>Philip of the Cellar</t>
  </si>
  <si>
    <t>Bernard Fraser (in ELO and BWK) (brother of Ness and John of London)</t>
  </si>
  <si>
    <t>Walter de Côtentin</t>
  </si>
  <si>
    <t>William Hay (II), lord of Aithmuir (son of William)</t>
  </si>
  <si>
    <t>William Bisset (early 13C), brother of John</t>
  </si>
  <si>
    <t>Walter, chaplain (Dunbar)</t>
  </si>
  <si>
    <t>Ralph de Lascelles, knight</t>
  </si>
  <si>
    <t>Adam, son of Eilaf of Auchencrow</t>
  </si>
  <si>
    <t>William of Lumsdaine</t>
  </si>
  <si>
    <t>Alexander of Blair (I), knight (early13C)</t>
  </si>
  <si>
    <t>Aulay, brother of Earl Mael Domnaig of Lennox</t>
  </si>
  <si>
    <t>Alexander of Stirling, son of Patrick</t>
  </si>
  <si>
    <t>Alexander Douglas, sheriff of Elgin, serviens of the bishop of Moray</t>
  </si>
  <si>
    <t>John of Methil, son of Michael the clerk</t>
  </si>
  <si>
    <t>Ralph, bishop of Down (d.×1213)</t>
  </si>
  <si>
    <t>Robert, king's chaplain (TRA2)</t>
  </si>
  <si>
    <t>William, grieve (father of Thomas)</t>
  </si>
  <si>
    <t>Adam, chaplain of Bishop Walter of Glasgow</t>
  </si>
  <si>
    <t>Adam Ovid, master (fl.1203-33)</t>
  </si>
  <si>
    <t>Henry Douglas, clerk</t>
  </si>
  <si>
    <t>Freskin Douglas, dean of Moray (d.1226)</t>
  </si>
  <si>
    <t>Ness Ramsay</t>
  </si>
  <si>
    <t>David of Lumsdaine</t>
  </si>
  <si>
    <t>Ralph of Braid, master</t>
  </si>
  <si>
    <t>Thomas Crook, knight</t>
  </si>
  <si>
    <t>Richard, chaplain of Bishop Roger of St Andrews</t>
  </si>
  <si>
    <t>Hugh of Nydie (I), butler of bishop of St Andrews</t>
  </si>
  <si>
    <t>Stephen, clerk (St Andrews)</t>
  </si>
  <si>
    <t>John, dean of Teviotdale and Roxburgh (fl.1195-1204×07)</t>
  </si>
  <si>
    <t>Gamel, doorward, master (St Andrews)</t>
  </si>
  <si>
    <t>William, chaplain of Bishop Matthew of Aberdeen</t>
  </si>
  <si>
    <t>Thomas de Normanville, knight</t>
  </si>
  <si>
    <t>Walter Stewart, earl of Menteith (d.c.1293)</t>
  </si>
  <si>
    <t>Hugh Barclay, justiciar of Lothian</t>
  </si>
  <si>
    <t>Aymer Maxwell (d.1266)</t>
  </si>
  <si>
    <t>Peter Ramsay, bishop of Aberdeen (d.1256)</t>
  </si>
  <si>
    <t>Walter de Mortimer, dean of Glasgow (d.1270×71)</t>
  </si>
  <si>
    <t>Robert of Inverkeilor, sheriff of Mearns</t>
  </si>
  <si>
    <t>Walkelin, son of Stephen</t>
  </si>
  <si>
    <t>John of Hownam, son of Orm, son of Eilaf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</si>
</sst>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4"/>
      <color indexed="8"/>
      <name val="Calibri"/>
      <family val="2"/>
    </font>
    <font>
      <sz val="14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4"/>
      <color indexed="8"/>
      <name val="Calibri"/>
      <family val="2"/>
    </font>
    <font>
      <sz val="12"/>
      <color theme="1"/>
      <name val="Courier New"/>
      <family val="3"/>
    </font>
  </fonts>
  <fills count="2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auto="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7030A0"/>
      </top>
      <bottom style="thin">
        <color rgb="FF7030A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89">
    <xf numFmtId="0" fontId="0" fillId="0" borderId="0" xfId="0"/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0" fillId="0" borderId="0" xfId="0" applyBorder="1"/>
    <xf numFmtId="0" fontId="3" fillId="0" borderId="0" xfId="1" applyFont="1" applyFill="1" applyBorder="1" applyAlignment="1">
      <alignment wrapText="1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right" vertical="center" wrapText="1"/>
    </xf>
    <xf numFmtId="0" fontId="1" fillId="4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 wrapText="1"/>
    </xf>
    <xf numFmtId="0" fontId="1" fillId="6" borderId="0" xfId="0" applyFont="1" applyFill="1" applyBorder="1"/>
    <xf numFmtId="0" fontId="3" fillId="8" borderId="0" xfId="1" applyFont="1" applyFill="1" applyBorder="1" applyAlignment="1">
      <alignment wrapText="1"/>
    </xf>
    <xf numFmtId="0" fontId="1" fillId="5" borderId="0" xfId="0" applyFont="1" applyFill="1" applyBorder="1"/>
    <xf numFmtId="0" fontId="3" fillId="5" borderId="0" xfId="1" applyFont="1" applyFill="1" applyBorder="1" applyAlignment="1">
      <alignment wrapText="1"/>
    </xf>
    <xf numFmtId="0" fontId="1" fillId="11" borderId="0" xfId="0" applyFont="1" applyFill="1" applyBorder="1"/>
    <xf numFmtId="0" fontId="1" fillId="11" borderId="0" xfId="0" applyFont="1" applyFill="1" applyBorder="1" applyAlignment="1">
      <alignment horizontal="right" vertical="center" wrapText="1"/>
    </xf>
    <xf numFmtId="0" fontId="1" fillId="11" borderId="0" xfId="0" applyFont="1" applyFill="1" applyBorder="1" applyAlignment="1">
      <alignment vertical="center" wrapText="1"/>
    </xf>
    <xf numFmtId="0" fontId="1" fillId="13" borderId="0" xfId="0" applyFont="1" applyFill="1" applyBorder="1"/>
    <xf numFmtId="0" fontId="1" fillId="13" borderId="0" xfId="0" applyFont="1" applyFill="1" applyBorder="1" applyAlignment="1">
      <alignment vertical="center" wrapText="1"/>
    </xf>
    <xf numFmtId="0" fontId="1" fillId="13" borderId="0" xfId="0" applyFont="1" applyFill="1" applyBorder="1" applyAlignment="1">
      <alignment horizontal="right" vertical="center" wrapText="1"/>
    </xf>
    <xf numFmtId="0" fontId="1" fillId="14" borderId="0" xfId="0" applyFont="1" applyFill="1" applyBorder="1" applyAlignment="1">
      <alignment horizontal="right" vertical="center" wrapText="1"/>
    </xf>
    <xf numFmtId="0" fontId="1" fillId="14" borderId="0" xfId="0" applyFont="1" applyFill="1" applyBorder="1" applyAlignment="1">
      <alignment vertical="center" wrapText="1"/>
    </xf>
    <xf numFmtId="0" fontId="1" fillId="14" borderId="0" xfId="0" applyFont="1" applyFill="1" applyBorder="1"/>
    <xf numFmtId="0" fontId="1" fillId="15" borderId="0" xfId="0" applyFont="1" applyFill="1" applyBorder="1"/>
    <xf numFmtId="0" fontId="1" fillId="15" borderId="0" xfId="0" applyFont="1" applyFill="1" applyBorder="1" applyAlignment="1">
      <alignment horizontal="right" vertical="center" wrapText="1"/>
    </xf>
    <xf numFmtId="0" fontId="1" fillId="16" borderId="0" xfId="0" applyFont="1" applyFill="1" applyBorder="1" applyAlignment="1">
      <alignment horizontal="right" vertical="center" wrapText="1"/>
    </xf>
    <xf numFmtId="0" fontId="1" fillId="16" borderId="0" xfId="0" applyFont="1" applyFill="1" applyBorder="1" applyAlignment="1">
      <alignment vertical="center" wrapText="1"/>
    </xf>
    <xf numFmtId="0" fontId="1" fillId="16" borderId="0" xfId="0" applyFont="1" applyFill="1" applyBorder="1"/>
    <xf numFmtId="0" fontId="1" fillId="17" borderId="0" xfId="0" applyFont="1" applyFill="1" applyBorder="1"/>
    <xf numFmtId="0" fontId="1" fillId="7" borderId="0" xfId="0" applyFont="1" applyFill="1" applyBorder="1" applyAlignment="1">
      <alignment vertical="center" wrapText="1"/>
    </xf>
    <xf numFmtId="0" fontId="1" fillId="8" borderId="0" xfId="0" applyFont="1" applyFill="1" applyBorder="1"/>
    <xf numFmtId="0" fontId="1" fillId="3" borderId="0" xfId="0" applyFont="1" applyFill="1" applyBorder="1"/>
    <xf numFmtId="0" fontId="1" fillId="9" borderId="0" xfId="0" applyFont="1" applyFill="1" applyBorder="1"/>
    <xf numFmtId="0" fontId="1" fillId="18" borderId="0" xfId="0" applyFont="1" applyFill="1" applyBorder="1"/>
    <xf numFmtId="0" fontId="1" fillId="21" borderId="0" xfId="0" applyFont="1" applyFill="1" applyBorder="1"/>
    <xf numFmtId="0" fontId="1" fillId="21" borderId="0" xfId="0" applyFont="1" applyFill="1" applyBorder="1" applyAlignment="1">
      <alignment vertical="center" wrapText="1"/>
    </xf>
    <xf numFmtId="0" fontId="1" fillId="22" borderId="0" xfId="0" applyFont="1" applyFill="1" applyBorder="1"/>
    <xf numFmtId="0" fontId="1" fillId="22" borderId="0" xfId="0" applyFont="1" applyFill="1" applyBorder="1" applyAlignment="1">
      <alignment vertical="center" wrapText="1"/>
    </xf>
    <xf numFmtId="0" fontId="3" fillId="22" borderId="0" xfId="1" applyFont="1" applyFill="1" applyBorder="1" applyAlignment="1">
      <alignment wrapText="1"/>
    </xf>
    <xf numFmtId="0" fontId="3" fillId="21" borderId="0" xfId="1" applyFont="1" applyFill="1" applyBorder="1" applyAlignment="1">
      <alignment wrapText="1"/>
    </xf>
    <xf numFmtId="0" fontId="5" fillId="22" borderId="0" xfId="0" applyFont="1" applyFill="1" applyBorder="1"/>
    <xf numFmtId="0" fontId="5" fillId="22" borderId="0" xfId="0" applyFont="1" applyFill="1" applyBorder="1" applyAlignment="1">
      <alignment vertical="center" wrapText="1"/>
    </xf>
    <xf numFmtId="0" fontId="6" fillId="22" borderId="0" xfId="1" applyFont="1" applyFill="1" applyBorder="1" applyAlignment="1">
      <alignment wrapText="1"/>
    </xf>
    <xf numFmtId="0" fontId="1" fillId="2" borderId="0" xfId="0" applyFont="1" applyFill="1" applyBorder="1"/>
    <xf numFmtId="0" fontId="1" fillId="12" borderId="0" xfId="0" applyFont="1" applyFill="1" applyBorder="1"/>
    <xf numFmtId="9" fontId="1" fillId="10" borderId="0" xfId="0" applyNumberFormat="1" applyFont="1" applyFill="1" applyBorder="1"/>
    <xf numFmtId="0" fontId="1" fillId="12" borderId="0" xfId="0" applyFont="1" applyFill="1" applyBorder="1" applyAlignment="1">
      <alignment horizontal="right" vertical="center" wrapText="1"/>
    </xf>
    <xf numFmtId="9" fontId="1" fillId="19" borderId="0" xfId="0" applyNumberFormat="1" applyFont="1" applyFill="1" applyBorder="1"/>
    <xf numFmtId="0" fontId="4" fillId="12" borderId="0" xfId="0" applyFont="1" applyFill="1" applyBorder="1"/>
    <xf numFmtId="9" fontId="1" fillId="0" borderId="0" xfId="0" applyNumberFormat="1" applyFont="1" applyBorder="1"/>
    <xf numFmtId="9" fontId="1" fillId="9" borderId="0" xfId="0" applyNumberFormat="1" applyFont="1" applyFill="1" applyBorder="1"/>
    <xf numFmtId="0" fontId="1" fillId="24" borderId="0" xfId="0" applyFont="1" applyFill="1" applyBorder="1"/>
    <xf numFmtId="0" fontId="0" fillId="23" borderId="0" xfId="0" applyFill="1" applyBorder="1"/>
    <xf numFmtId="0" fontId="1" fillId="0" borderId="1" xfId="0" applyFont="1" applyBorder="1"/>
    <xf numFmtId="0" fontId="1" fillId="0" borderId="0" xfId="0" applyFont="1" applyFill="1" applyBorder="1"/>
    <xf numFmtId="10" fontId="1" fillId="9" borderId="0" xfId="0" applyNumberFormat="1" applyFont="1" applyFill="1" applyBorder="1"/>
    <xf numFmtId="0" fontId="1" fillId="3" borderId="0" xfId="0" applyFont="1" applyFill="1"/>
    <xf numFmtId="0" fontId="1" fillId="4" borderId="0" xfId="0" applyFont="1" applyFill="1"/>
    <xf numFmtId="0" fontId="3" fillId="0" borderId="2" xfId="1" applyFont="1" applyFill="1" applyBorder="1" applyAlignment="1">
      <alignment wrapText="1"/>
    </xf>
    <xf numFmtId="0" fontId="1" fillId="0" borderId="2" xfId="0" applyFont="1" applyBorder="1"/>
    <xf numFmtId="0" fontId="1" fillId="6" borderId="2" xfId="0" applyFont="1" applyFill="1" applyBorder="1"/>
    <xf numFmtId="0" fontId="1" fillId="0" borderId="0" xfId="0" applyFont="1" applyFill="1"/>
    <xf numFmtId="9" fontId="0" fillId="0" borderId="0" xfId="0" applyNumberFormat="1" applyBorder="1"/>
    <xf numFmtId="9" fontId="1" fillId="14" borderId="0" xfId="0" applyNumberFormat="1" applyFont="1" applyFill="1" applyBorder="1"/>
    <xf numFmtId="0" fontId="0" fillId="14" borderId="0" xfId="0" applyFill="1" applyBorder="1"/>
    <xf numFmtId="0" fontId="1" fillId="26" borderId="0" xfId="0" applyFont="1" applyFill="1" applyBorder="1"/>
    <xf numFmtId="0" fontId="1" fillId="6" borderId="0" xfId="0" applyFont="1" applyFill="1" applyBorder="1" applyAlignment="1">
      <alignment vertical="center" wrapText="1"/>
    </xf>
    <xf numFmtId="0" fontId="1" fillId="6" borderId="1" xfId="0" applyFont="1" applyFill="1" applyBorder="1"/>
    <xf numFmtId="0" fontId="3" fillId="5" borderId="1" xfId="1" applyFont="1" applyFill="1" applyBorder="1" applyAlignment="1">
      <alignment wrapText="1"/>
    </xf>
    <xf numFmtId="0" fontId="1" fillId="20" borderId="0" xfId="0" applyFont="1" applyFill="1" applyBorder="1"/>
    <xf numFmtId="0" fontId="1" fillId="5" borderId="1" xfId="0" applyFont="1" applyFill="1" applyBorder="1"/>
    <xf numFmtId="0" fontId="1" fillId="0" borderId="1" xfId="0" applyFont="1" applyBorder="1" applyAlignment="1">
      <alignment vertical="center" wrapText="1"/>
    </xf>
    <xf numFmtId="0" fontId="3" fillId="8" borderId="1" xfId="1" applyFont="1" applyFill="1" applyBorder="1" applyAlignment="1">
      <alignment wrapText="1"/>
    </xf>
    <xf numFmtId="0" fontId="1" fillId="6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25" borderId="0" xfId="0" applyFont="1" applyFill="1" applyBorder="1" applyAlignment="1">
      <alignment vertical="center" wrapText="1"/>
    </xf>
    <xf numFmtId="0" fontId="3" fillId="6" borderId="2" xfId="1" applyFont="1" applyFill="1" applyBorder="1" applyAlignment="1">
      <alignment wrapText="1"/>
    </xf>
    <xf numFmtId="0" fontId="1" fillId="7" borderId="0" xfId="0" applyFont="1" applyFill="1" applyBorder="1"/>
    <xf numFmtId="0" fontId="1" fillId="7" borderId="1" xfId="0" applyFont="1" applyFill="1" applyBorder="1" applyAlignment="1">
      <alignment vertical="center" wrapText="1"/>
    </xf>
    <xf numFmtId="0" fontId="0" fillId="27" borderId="0" xfId="0" applyFill="1" applyBorder="1"/>
    <xf numFmtId="0" fontId="1" fillId="27" borderId="0" xfId="0" applyFont="1" applyFill="1" applyBorder="1"/>
    <xf numFmtId="0" fontId="7" fillId="27" borderId="0" xfId="0" applyFont="1" applyFill="1"/>
    <xf numFmtId="0" fontId="0" fillId="27" borderId="0" xfId="0" applyFill="1"/>
    <xf numFmtId="0" fontId="1" fillId="27" borderId="0" xfId="0" applyFont="1" applyFill="1" applyBorder="1" applyAlignment="1">
      <alignment horizontal="right" vertical="center" wrapText="1"/>
    </xf>
    <xf numFmtId="0" fontId="7" fillId="27" borderId="2" xfId="0" applyFont="1" applyFill="1" applyBorder="1"/>
    <xf numFmtId="0" fontId="7" fillId="27" borderId="0" xfId="0" applyFont="1" applyFill="1" applyBorder="1"/>
    <xf numFmtId="0" fontId="1" fillId="27" borderId="0" xfId="0" applyFont="1" applyFill="1" applyBorder="1" applyAlignment="1">
      <alignment vertical="center" wrapText="1"/>
    </xf>
    <xf numFmtId="10" fontId="1" fillId="27" borderId="0" xfId="0" applyNumberFormat="1" applyFont="1" applyFill="1" applyBorder="1"/>
    <xf numFmtId="9" fontId="1" fillId="27" borderId="0" xfId="0" applyNumberFormat="1" applyFont="1" applyFill="1" applyBorder="1"/>
  </cellXfs>
  <cellStyles count="2">
    <cellStyle name="Normal" xfId="0" builtinId="0"/>
    <cellStyle name="Normal_Sheet1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66FF"/>
      <color rgb="FFFF6699"/>
      <color rgb="FF66FF99"/>
      <color rgb="FFFFFF66"/>
      <color rgb="FF9966FF"/>
      <color rgb="FF66FFFF"/>
      <color rgb="FF9999FF"/>
      <color rgb="FF99FFCC"/>
      <color rgb="FFFF9933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6"/>
  <sheetViews>
    <sheetView tabSelected="1" zoomScale="75" zoomScaleNormal="75" workbookViewId="0">
      <selection activeCell="I11" sqref="I11"/>
    </sheetView>
  </sheetViews>
  <sheetFormatPr defaultColWidth="22.140625" defaultRowHeight="24.75" customHeight="1" x14ac:dyDescent="0.25"/>
  <cols>
    <col min="1" max="1" width="72.42578125" style="3" customWidth="1"/>
    <col min="2" max="2" width="17.85546875" style="3" hidden="1" customWidth="1"/>
    <col min="3" max="3" width="17.28515625" style="3" hidden="1" customWidth="1"/>
    <col min="4" max="4" width="10.85546875" style="3" customWidth="1"/>
    <col min="5" max="5" width="13.5703125" style="3" customWidth="1"/>
    <col min="6" max="6" width="20.7109375" style="3" customWidth="1"/>
    <col min="7" max="7" width="31.5703125" style="3" customWidth="1"/>
    <col min="8" max="8" width="23.28515625" style="52" customWidth="1"/>
    <col min="9" max="9" width="22.140625" style="3"/>
    <col min="10" max="10" width="20" style="3" customWidth="1"/>
    <col min="11" max="16384" width="22.140625" style="3"/>
  </cols>
  <sheetData>
    <row r="1" spans="1:12" ht="24.75" customHeight="1" x14ac:dyDescent="0.3">
      <c r="A1" s="43" t="s">
        <v>4</v>
      </c>
      <c r="B1" s="43" t="s">
        <v>216</v>
      </c>
      <c r="C1" s="43" t="s">
        <v>281</v>
      </c>
      <c r="D1" s="43" t="s">
        <v>5</v>
      </c>
      <c r="E1" s="43" t="s">
        <v>6</v>
      </c>
      <c r="F1" s="43" t="s">
        <v>42</v>
      </c>
      <c r="G1" s="43" t="s">
        <v>7</v>
      </c>
      <c r="H1" s="43" t="s">
        <v>32</v>
      </c>
      <c r="I1" s="43" t="s">
        <v>33</v>
      </c>
      <c r="J1" s="43" t="s">
        <v>51</v>
      </c>
      <c r="K1" s="43" t="s">
        <v>35</v>
      </c>
      <c r="L1" s="43" t="s">
        <v>49</v>
      </c>
    </row>
    <row r="2" spans="1:12" ht="24.75" customHeight="1" x14ac:dyDescent="0.3">
      <c r="A2" s="75" t="s">
        <v>50</v>
      </c>
      <c r="B2" s="35" t="s">
        <v>217</v>
      </c>
      <c r="C2" s="35" t="s">
        <v>282</v>
      </c>
      <c r="D2" s="8">
        <v>13</v>
      </c>
      <c r="E2" s="46">
        <v>8.4</v>
      </c>
      <c r="F2" s="6">
        <v>585</v>
      </c>
      <c r="G2" s="2">
        <v>1.436E-2</v>
      </c>
      <c r="H2" s="12">
        <v>202</v>
      </c>
      <c r="I2" s="2">
        <f>585/202</f>
        <v>2.8960396039603959</v>
      </c>
      <c r="J2" s="32">
        <v>56</v>
      </c>
      <c r="K2" s="2">
        <f>56/202</f>
        <v>0.27722772277227725</v>
      </c>
      <c r="L2" s="47">
        <v>0.28000000000000003</v>
      </c>
    </row>
    <row r="3" spans="1:12" ht="24.75" customHeight="1" x14ac:dyDescent="0.3">
      <c r="A3" s="77" t="s">
        <v>26</v>
      </c>
      <c r="B3" s="40" t="s">
        <v>280</v>
      </c>
      <c r="C3" s="40" t="s">
        <v>286</v>
      </c>
      <c r="D3" s="8">
        <v>42</v>
      </c>
      <c r="E3" s="46">
        <v>8.0399999999999991</v>
      </c>
      <c r="F3" s="6">
        <v>476</v>
      </c>
      <c r="G3" s="2">
        <f>8.04/476</f>
        <v>1.6890756302521008E-2</v>
      </c>
      <c r="H3" s="12">
        <v>202</v>
      </c>
      <c r="I3" s="2">
        <f>476/202</f>
        <v>2.3564356435643563</v>
      </c>
      <c r="J3" s="32">
        <v>81</v>
      </c>
      <c r="K3" s="2">
        <f>81/202</f>
        <v>0.40099009900990101</v>
      </c>
      <c r="L3" s="47">
        <v>0.4</v>
      </c>
    </row>
    <row r="4" spans="1:12" ht="24.75" customHeight="1" x14ac:dyDescent="0.3">
      <c r="A4" s="70" t="s">
        <v>19</v>
      </c>
      <c r="B4" s="40" t="s">
        <v>279</v>
      </c>
      <c r="C4" s="40" t="s">
        <v>283</v>
      </c>
      <c r="D4" s="8">
        <v>2</v>
      </c>
      <c r="E4" s="15">
        <v>10.4</v>
      </c>
      <c r="F4" s="6">
        <v>473</v>
      </c>
      <c r="G4" s="2">
        <f>10.4/473</f>
        <v>2.1987315010570826E-2</v>
      </c>
      <c r="H4" s="12">
        <v>152</v>
      </c>
      <c r="I4" s="2">
        <f>473/152</f>
        <v>3.111842105263158</v>
      </c>
      <c r="J4" s="32">
        <v>69</v>
      </c>
      <c r="K4" s="2">
        <f>69/152</f>
        <v>0.45394736842105265</v>
      </c>
      <c r="L4" s="47">
        <v>0.45</v>
      </c>
    </row>
    <row r="5" spans="1:12" ht="24.75" customHeight="1" x14ac:dyDescent="0.3">
      <c r="A5" s="67" t="s">
        <v>27</v>
      </c>
      <c r="B5" s="34" t="s">
        <v>261</v>
      </c>
      <c r="C5" s="34" t="s">
        <v>282</v>
      </c>
      <c r="D5" s="8">
        <v>142</v>
      </c>
      <c r="E5" s="14">
        <v>13.12</v>
      </c>
      <c r="F5" s="5">
        <v>409</v>
      </c>
      <c r="G5" s="2">
        <f xml:space="preserve"> 13.12/409</f>
        <v>3.2078239608801955E-2</v>
      </c>
      <c r="H5" s="12">
        <v>100</v>
      </c>
      <c r="I5" s="2">
        <f>409/100</f>
        <v>4.09</v>
      </c>
      <c r="J5" s="2">
        <v>38</v>
      </c>
      <c r="K5" s="2">
        <f>38/166</f>
        <v>0.2289156626506024</v>
      </c>
      <c r="L5" s="47">
        <v>0.23</v>
      </c>
    </row>
    <row r="6" spans="1:12" ht="24.75" customHeight="1" x14ac:dyDescent="0.3">
      <c r="A6" s="9" t="s">
        <v>34</v>
      </c>
      <c r="B6" s="37"/>
      <c r="C6" s="37"/>
      <c r="D6" s="8">
        <v>858</v>
      </c>
      <c r="E6" s="15">
        <v>10.58</v>
      </c>
      <c r="F6" s="6">
        <v>380</v>
      </c>
      <c r="G6" s="2">
        <f>10.58/380</f>
        <v>2.7842105263157894E-2</v>
      </c>
      <c r="H6" s="12">
        <v>66</v>
      </c>
      <c r="I6" s="2">
        <f>380/66</f>
        <v>5.7575757575757578</v>
      </c>
      <c r="J6" s="2">
        <v>35</v>
      </c>
      <c r="K6" s="2">
        <f xml:space="preserve"> 35/66</f>
        <v>0.53030303030303028</v>
      </c>
      <c r="L6" s="49">
        <v>0.53</v>
      </c>
    </row>
    <row r="7" spans="1:12" ht="24.75" customHeight="1" x14ac:dyDescent="0.3">
      <c r="A7" s="68" t="s">
        <v>29</v>
      </c>
      <c r="B7" s="38"/>
      <c r="C7" s="38"/>
      <c r="D7" s="8">
        <v>40</v>
      </c>
      <c r="E7" s="14">
        <v>10.82</v>
      </c>
      <c r="F7" s="5">
        <v>379</v>
      </c>
      <c r="G7" s="2">
        <f>10.82/379</f>
        <v>2.8548812664907653E-2</v>
      </c>
      <c r="H7" s="12">
        <v>67</v>
      </c>
      <c r="I7" s="2">
        <f>379/67</f>
        <v>5.6567164179104479</v>
      </c>
      <c r="J7" s="2">
        <v>41</v>
      </c>
      <c r="K7" s="2">
        <f>41/67</f>
        <v>0.61194029850746268</v>
      </c>
      <c r="L7" s="49">
        <v>0.61</v>
      </c>
    </row>
    <row r="8" spans="1:12" ht="24.75" customHeight="1" x14ac:dyDescent="0.3">
      <c r="A8" s="10" t="s">
        <v>14</v>
      </c>
      <c r="B8" s="34" t="s">
        <v>217</v>
      </c>
      <c r="C8" s="34" t="s">
        <v>282</v>
      </c>
      <c r="D8" s="8">
        <v>782</v>
      </c>
      <c r="E8" s="14">
        <v>11.54</v>
      </c>
      <c r="F8" s="5">
        <v>377</v>
      </c>
      <c r="G8" s="2">
        <f>11.54/377</f>
        <v>3.0610079575596815E-2</v>
      </c>
      <c r="H8" s="12">
        <v>103</v>
      </c>
      <c r="I8" s="2">
        <f>377/103</f>
        <v>3.6601941747572817</v>
      </c>
      <c r="J8" s="2">
        <v>36</v>
      </c>
      <c r="K8" s="2">
        <f>36/103</f>
        <v>0.34951456310679613</v>
      </c>
      <c r="L8" s="47">
        <v>0.35</v>
      </c>
    </row>
    <row r="9" spans="1:12" ht="24.75" customHeight="1" x14ac:dyDescent="0.3">
      <c r="A9" s="2" t="s">
        <v>23</v>
      </c>
      <c r="B9" s="34" t="s">
        <v>236</v>
      </c>
      <c r="C9" s="34"/>
      <c r="D9" s="8">
        <v>15</v>
      </c>
      <c r="E9" s="15">
        <v>13.57</v>
      </c>
      <c r="F9" s="6">
        <v>363</v>
      </c>
      <c r="G9" s="2">
        <f>13.57/363</f>
        <v>3.7382920110192841E-2</v>
      </c>
      <c r="H9" s="12">
        <v>166</v>
      </c>
      <c r="I9" s="2">
        <f>363/166</f>
        <v>2.1867469879518073</v>
      </c>
      <c r="J9" s="2">
        <v>21</v>
      </c>
      <c r="K9" s="2">
        <f>21/166</f>
        <v>0.12650602409638553</v>
      </c>
      <c r="L9" s="50">
        <v>0.13</v>
      </c>
    </row>
    <row r="10" spans="1:12" ht="24.75" customHeight="1" x14ac:dyDescent="0.3">
      <c r="A10" s="12" t="s">
        <v>36</v>
      </c>
      <c r="B10" s="40" t="s">
        <v>279</v>
      </c>
      <c r="C10" s="40"/>
      <c r="D10" s="8">
        <v>745</v>
      </c>
      <c r="E10" s="14">
        <v>12.06</v>
      </c>
      <c r="F10" s="5">
        <v>356</v>
      </c>
      <c r="G10" s="2">
        <f>12.06/356</f>
        <v>3.3876404494382027E-2</v>
      </c>
      <c r="H10" s="12">
        <v>77</v>
      </c>
      <c r="I10" s="2">
        <f>356/77</f>
        <v>4.6233766233766236</v>
      </c>
      <c r="J10" s="32">
        <v>50</v>
      </c>
      <c r="K10" s="2">
        <f>50/77</f>
        <v>0.64935064935064934</v>
      </c>
      <c r="L10" s="49">
        <v>0.65</v>
      </c>
    </row>
    <row r="11" spans="1:12" ht="24.75" customHeight="1" x14ac:dyDescent="0.3">
      <c r="A11" s="73" t="s">
        <v>11</v>
      </c>
      <c r="B11" s="35" t="s">
        <v>232</v>
      </c>
      <c r="C11" s="35" t="s">
        <v>282</v>
      </c>
      <c r="D11" s="8">
        <v>260</v>
      </c>
      <c r="E11" s="15">
        <v>13.81</v>
      </c>
      <c r="F11" s="6">
        <v>354</v>
      </c>
      <c r="G11" s="2">
        <f xml:space="preserve"> 13.81/354</f>
        <v>3.9011299435028249E-2</v>
      </c>
      <c r="H11" s="12">
        <v>97</v>
      </c>
      <c r="I11" s="2">
        <f>354/97</f>
        <v>3.6494845360824741</v>
      </c>
      <c r="J11" s="2">
        <v>29</v>
      </c>
      <c r="K11" s="2">
        <f>29/97</f>
        <v>0.29896907216494845</v>
      </c>
      <c r="L11" s="47">
        <v>0.3</v>
      </c>
    </row>
    <row r="12" spans="1:12" ht="24.75" customHeight="1" x14ac:dyDescent="0.3">
      <c r="A12" s="9" t="s">
        <v>37</v>
      </c>
      <c r="B12" s="37"/>
      <c r="C12" s="37"/>
      <c r="D12" s="8">
        <v>798</v>
      </c>
      <c r="E12" s="19">
        <v>15.39</v>
      </c>
      <c r="F12" s="6">
        <v>347</v>
      </c>
      <c r="G12" s="2">
        <f>15.39/347</f>
        <v>4.4351585014409223E-2</v>
      </c>
      <c r="H12" s="12">
        <v>82</v>
      </c>
      <c r="I12" s="2">
        <f>347/82</f>
        <v>4.2317073170731705</v>
      </c>
      <c r="J12" s="2">
        <v>24</v>
      </c>
      <c r="K12" s="2">
        <f>24/82</f>
        <v>0.29268292682926828</v>
      </c>
      <c r="L12" s="49">
        <v>0.28999999999999998</v>
      </c>
    </row>
    <row r="13" spans="1:12" ht="24.75" customHeight="1" x14ac:dyDescent="0.3">
      <c r="A13" s="10" t="s">
        <v>38</v>
      </c>
      <c r="B13" s="34" t="s">
        <v>224</v>
      </c>
      <c r="C13" s="34" t="s">
        <v>282</v>
      </c>
      <c r="D13" s="31">
        <v>444</v>
      </c>
      <c r="E13" s="14">
        <v>12.56</v>
      </c>
      <c r="F13" s="5">
        <v>343</v>
      </c>
      <c r="G13" s="2">
        <f>12.56/343</f>
        <v>3.6618075801749271E-2</v>
      </c>
      <c r="H13" s="12">
        <v>73</v>
      </c>
      <c r="I13" s="2">
        <f>343/73</f>
        <v>4.6986301369863011</v>
      </c>
      <c r="J13" s="2">
        <v>38</v>
      </c>
      <c r="K13" s="2">
        <f>38/73</f>
        <v>0.52054794520547942</v>
      </c>
      <c r="L13" s="49">
        <v>0.52</v>
      </c>
    </row>
    <row r="14" spans="1:12" ht="24.75" customHeight="1" x14ac:dyDescent="0.3">
      <c r="A14" s="70" t="s">
        <v>39</v>
      </c>
      <c r="B14" s="40" t="s">
        <v>279</v>
      </c>
      <c r="C14" s="40"/>
      <c r="D14" s="31">
        <v>850</v>
      </c>
      <c r="E14" s="14">
        <v>13.34</v>
      </c>
      <c r="F14" s="5">
        <v>337</v>
      </c>
      <c r="G14" s="2">
        <f>13.34/337</f>
        <v>3.9584569732937683E-2</v>
      </c>
      <c r="H14" s="12">
        <v>67</v>
      </c>
      <c r="I14" s="2">
        <f>337/67</f>
        <v>5.0298507462686564</v>
      </c>
      <c r="J14" s="32">
        <v>56</v>
      </c>
      <c r="K14" s="2">
        <f>56/67</f>
        <v>0.83582089552238803</v>
      </c>
      <c r="L14" s="49">
        <v>0.84</v>
      </c>
    </row>
    <row r="15" spans="1:12" ht="24.75" customHeight="1" x14ac:dyDescent="0.3">
      <c r="A15" s="2" t="s">
        <v>40</v>
      </c>
      <c r="B15" s="34" t="s">
        <v>220</v>
      </c>
      <c r="C15" s="34"/>
      <c r="D15" s="31">
        <v>1285</v>
      </c>
      <c r="E15" s="14">
        <v>11.14</v>
      </c>
      <c r="F15" s="5">
        <v>327</v>
      </c>
      <c r="G15" s="2">
        <f>11.14/327</f>
        <v>3.4067278287461776E-2</v>
      </c>
      <c r="H15" s="12">
        <v>123</v>
      </c>
      <c r="I15" s="2">
        <f>327/123</f>
        <v>2.6585365853658538</v>
      </c>
      <c r="J15" s="2">
        <v>32</v>
      </c>
      <c r="K15" s="2">
        <f>32/123</f>
        <v>0.26016260162601629</v>
      </c>
      <c r="L15" s="49">
        <v>0.26</v>
      </c>
    </row>
    <row r="16" spans="1:12" ht="24.75" customHeight="1" x14ac:dyDescent="0.3">
      <c r="A16" s="2" t="s">
        <v>41</v>
      </c>
      <c r="B16" s="34" t="s">
        <v>261</v>
      </c>
      <c r="C16" s="34" t="s">
        <v>284</v>
      </c>
      <c r="D16" s="31">
        <v>1</v>
      </c>
      <c r="E16" s="17">
        <v>16.559999999999999</v>
      </c>
      <c r="F16" s="5">
        <v>321</v>
      </c>
      <c r="G16" s="2">
        <f>16.56/321</f>
        <v>5.1588785046728966E-2</v>
      </c>
      <c r="H16" s="12">
        <v>43</v>
      </c>
      <c r="I16" s="2">
        <f>321/43</f>
        <v>7.4651162790697674</v>
      </c>
      <c r="J16" s="2">
        <v>27</v>
      </c>
      <c r="K16" s="2">
        <f>27/43</f>
        <v>0.62790697674418605</v>
      </c>
      <c r="L16" s="49">
        <v>0.63</v>
      </c>
    </row>
    <row r="17" spans="1:12" ht="24.75" customHeight="1" x14ac:dyDescent="0.3">
      <c r="A17" s="10" t="s">
        <v>24</v>
      </c>
      <c r="B17" s="34" t="s">
        <v>221</v>
      </c>
      <c r="C17" s="34" t="s">
        <v>282</v>
      </c>
      <c r="D17" s="8">
        <v>16</v>
      </c>
      <c r="E17" s="15">
        <v>14.8</v>
      </c>
      <c r="F17" s="6">
        <v>318</v>
      </c>
      <c r="G17" s="2">
        <f>14.8/318</f>
        <v>4.6540880503144658E-2</v>
      </c>
      <c r="H17" s="12">
        <v>145</v>
      </c>
      <c r="I17" s="2">
        <f>318/145</f>
        <v>2.193103448275862</v>
      </c>
      <c r="J17" s="2">
        <v>18</v>
      </c>
      <c r="K17" s="2">
        <f>18/145</f>
        <v>0.12413793103448276</v>
      </c>
      <c r="L17" s="50">
        <v>0.12</v>
      </c>
    </row>
    <row r="18" spans="1:12" ht="24.75" customHeight="1" x14ac:dyDescent="0.3">
      <c r="A18" s="1" t="s">
        <v>52</v>
      </c>
      <c r="B18" s="35" t="s">
        <v>225</v>
      </c>
      <c r="C18" s="35" t="s">
        <v>285</v>
      </c>
      <c r="D18" s="8">
        <v>3</v>
      </c>
      <c r="E18" s="15">
        <v>14.96</v>
      </c>
      <c r="F18" s="6">
        <v>314</v>
      </c>
      <c r="G18" s="2">
        <f>14.96/314</f>
        <v>4.7643312101910834E-2</v>
      </c>
      <c r="H18" s="12">
        <v>124</v>
      </c>
      <c r="I18" s="2">
        <f>314/124</f>
        <v>2.532258064516129</v>
      </c>
      <c r="J18" s="2">
        <v>11</v>
      </c>
      <c r="K18" s="2">
        <f>11/124</f>
        <v>8.8709677419354843E-2</v>
      </c>
      <c r="L18" s="50">
        <v>0.09</v>
      </c>
    </row>
    <row r="19" spans="1:12" ht="24.75" customHeight="1" x14ac:dyDescent="0.3">
      <c r="A19" s="2" t="s">
        <v>25</v>
      </c>
      <c r="B19" s="34" t="s">
        <v>226</v>
      </c>
      <c r="C19" s="34" t="s">
        <v>285</v>
      </c>
      <c r="D19" s="8">
        <v>24</v>
      </c>
      <c r="E19" s="19">
        <v>16.73</v>
      </c>
      <c r="F19" s="6">
        <v>310</v>
      </c>
      <c r="G19" s="2">
        <f>16.73/310</f>
        <v>5.3967741935483871E-2</v>
      </c>
      <c r="H19" s="12">
        <v>120</v>
      </c>
      <c r="I19" s="2">
        <f>310/120</f>
        <v>2.5833333333333335</v>
      </c>
      <c r="J19" s="2">
        <v>23</v>
      </c>
      <c r="K19" s="2">
        <f>23/120</f>
        <v>0.19166666666666668</v>
      </c>
      <c r="L19" s="49">
        <v>0.19</v>
      </c>
    </row>
    <row r="20" spans="1:12" ht="24.75" customHeight="1" x14ac:dyDescent="0.3">
      <c r="A20" s="68" t="s">
        <v>28</v>
      </c>
      <c r="B20" s="38"/>
      <c r="C20" s="38"/>
      <c r="D20" s="8">
        <v>39</v>
      </c>
      <c r="E20" s="17">
        <v>15.68</v>
      </c>
      <c r="F20" s="5">
        <v>303</v>
      </c>
      <c r="G20" s="2">
        <f>15.68/303</f>
        <v>5.1749174917491751E-2</v>
      </c>
      <c r="H20" s="12">
        <v>71</v>
      </c>
      <c r="I20" s="2">
        <f>303/71</f>
        <v>4.267605633802817</v>
      </c>
      <c r="J20" s="2">
        <v>30</v>
      </c>
      <c r="K20" s="2">
        <f>30/71</f>
        <v>0.42253521126760563</v>
      </c>
      <c r="L20" s="49">
        <v>0.42</v>
      </c>
    </row>
    <row r="21" spans="1:12" ht="24.75" customHeight="1" x14ac:dyDescent="0.3">
      <c r="A21" s="2" t="s">
        <v>43</v>
      </c>
      <c r="B21" s="34" t="s">
        <v>227</v>
      </c>
      <c r="C21" s="34"/>
      <c r="D21" s="8">
        <v>2115</v>
      </c>
      <c r="E21" s="14">
        <v>12.11</v>
      </c>
      <c r="F21" s="5">
        <v>293</v>
      </c>
      <c r="G21" s="2">
        <f>12.11/293</f>
        <v>4.1331058020477811E-2</v>
      </c>
      <c r="H21" s="12">
        <v>62</v>
      </c>
      <c r="I21" s="2">
        <f>293/62</f>
        <v>4.725806451612903</v>
      </c>
      <c r="J21" s="2">
        <v>39</v>
      </c>
      <c r="K21" s="2">
        <f>39/62</f>
        <v>0.62903225806451613</v>
      </c>
      <c r="L21" s="49">
        <v>0.63</v>
      </c>
    </row>
    <row r="22" spans="1:12" ht="24.75" customHeight="1" x14ac:dyDescent="0.3">
      <c r="A22" s="70" t="s">
        <v>44</v>
      </c>
      <c r="B22" s="40" t="s">
        <v>279</v>
      </c>
      <c r="C22" s="40" t="s">
        <v>283</v>
      </c>
      <c r="D22" s="8">
        <v>866</v>
      </c>
      <c r="E22" s="14">
        <v>12.69</v>
      </c>
      <c r="F22" s="5">
        <v>286</v>
      </c>
      <c r="G22" s="2">
        <f>12.69/286</f>
        <v>4.4370629370629369E-2</v>
      </c>
      <c r="H22" s="12">
        <v>55</v>
      </c>
      <c r="I22" s="2">
        <f>286/55</f>
        <v>5.2</v>
      </c>
      <c r="J22" s="2">
        <v>49</v>
      </c>
      <c r="K22" s="2">
        <f>49/55</f>
        <v>0.89090909090909087</v>
      </c>
      <c r="L22" s="45">
        <v>0.89</v>
      </c>
    </row>
    <row r="23" spans="1:12" ht="24.75" customHeight="1" x14ac:dyDescent="0.3">
      <c r="A23" s="53" t="s">
        <v>46</v>
      </c>
      <c r="B23" s="34" t="s">
        <v>219</v>
      </c>
      <c r="C23" s="34" t="s">
        <v>315</v>
      </c>
      <c r="D23" s="8">
        <v>1281</v>
      </c>
      <c r="E23" s="14">
        <v>10.89</v>
      </c>
      <c r="F23" s="5">
        <v>277</v>
      </c>
      <c r="G23" s="2">
        <f>10.89/277</f>
        <v>3.9314079422382672E-2</v>
      </c>
      <c r="H23" s="12">
        <v>98</v>
      </c>
      <c r="I23" s="2">
        <f>277/98</f>
        <v>2.8265306122448979</v>
      </c>
      <c r="J23" s="2">
        <v>31</v>
      </c>
      <c r="K23" s="2">
        <f>31/98</f>
        <v>0.31632653061224492</v>
      </c>
      <c r="L23" s="49">
        <v>0.32</v>
      </c>
    </row>
    <row r="24" spans="1:12" ht="24.75" customHeight="1" x14ac:dyDescent="0.3">
      <c r="A24" s="12" t="s">
        <v>45</v>
      </c>
      <c r="B24" s="40" t="s">
        <v>279</v>
      </c>
      <c r="C24" s="40" t="s">
        <v>283</v>
      </c>
      <c r="D24" s="8">
        <v>829</v>
      </c>
      <c r="E24" s="17">
        <v>15.55</v>
      </c>
      <c r="F24" s="5">
        <v>277</v>
      </c>
      <c r="G24" s="2">
        <f>15.55/277</f>
        <v>5.6137184115523465E-2</v>
      </c>
      <c r="H24" s="12">
        <v>45</v>
      </c>
      <c r="I24" s="2">
        <f>277/45</f>
        <v>6.1555555555555559</v>
      </c>
      <c r="J24" s="2">
        <v>45</v>
      </c>
      <c r="K24" s="2">
        <f>45/45</f>
        <v>1</v>
      </c>
      <c r="L24" s="45">
        <v>1</v>
      </c>
    </row>
    <row r="25" spans="1:12" ht="24.75" customHeight="1" x14ac:dyDescent="0.3">
      <c r="A25" s="12" t="s">
        <v>47</v>
      </c>
      <c r="B25" s="40" t="s">
        <v>279</v>
      </c>
      <c r="C25" s="40"/>
      <c r="D25" s="8">
        <v>788</v>
      </c>
      <c r="E25" s="14">
        <v>10.17</v>
      </c>
      <c r="F25" s="5">
        <v>273</v>
      </c>
      <c r="G25" s="2">
        <f>10.17/273</f>
        <v>3.7252747252747249E-2</v>
      </c>
      <c r="H25" s="12">
        <v>46</v>
      </c>
      <c r="I25" s="2">
        <f>273/46</f>
        <v>5.9347826086956523</v>
      </c>
      <c r="J25" s="2">
        <v>31</v>
      </c>
      <c r="K25" s="2">
        <f>31/46</f>
        <v>0.67391304347826086</v>
      </c>
      <c r="L25" s="49">
        <v>0.67</v>
      </c>
    </row>
    <row r="26" spans="1:12" ht="24.75" customHeight="1" x14ac:dyDescent="0.3">
      <c r="A26" s="53" t="s">
        <v>18</v>
      </c>
      <c r="B26" s="34" t="s">
        <v>225</v>
      </c>
      <c r="C26" s="34" t="s">
        <v>285</v>
      </c>
      <c r="D26" s="8">
        <v>400</v>
      </c>
      <c r="E26" s="19">
        <v>16.86</v>
      </c>
      <c r="F26" s="6">
        <v>262</v>
      </c>
      <c r="G26" s="2">
        <f>16.86/262</f>
        <v>6.435114503816794E-2</v>
      </c>
      <c r="H26" s="12">
        <v>57</v>
      </c>
      <c r="I26" s="2">
        <f>262/57</f>
        <v>4.5964912280701755</v>
      </c>
      <c r="J26" s="2">
        <v>14</v>
      </c>
      <c r="K26" s="2">
        <f>14/57</f>
        <v>0.24561403508771928</v>
      </c>
      <c r="L26" s="49">
        <v>0.25</v>
      </c>
    </row>
    <row r="27" spans="1:12" ht="24.75" customHeight="1" x14ac:dyDescent="0.3">
      <c r="A27" s="10" t="s">
        <v>48</v>
      </c>
      <c r="B27" s="34" t="s">
        <v>224</v>
      </c>
      <c r="C27" s="34" t="s">
        <v>282</v>
      </c>
      <c r="D27" s="8">
        <v>445</v>
      </c>
      <c r="E27" s="14">
        <v>12.76</v>
      </c>
      <c r="F27" s="5">
        <v>260</v>
      </c>
      <c r="G27" s="2">
        <f>12.76/260</f>
        <v>4.9076923076923074E-2</v>
      </c>
      <c r="H27" s="12">
        <v>63</v>
      </c>
      <c r="I27" s="2">
        <f>260/63</f>
        <v>4.1269841269841274</v>
      </c>
      <c r="J27" s="2">
        <v>37</v>
      </c>
      <c r="K27" s="2">
        <f>37/63</f>
        <v>0.58730158730158732</v>
      </c>
      <c r="L27" s="49">
        <v>0.59</v>
      </c>
    </row>
    <row r="28" spans="1:12" ht="24.75" customHeight="1" x14ac:dyDescent="0.3">
      <c r="A28" s="13" t="s">
        <v>31</v>
      </c>
      <c r="B28" s="38"/>
      <c r="C28" s="38"/>
      <c r="D28" s="8">
        <v>202</v>
      </c>
      <c r="E28" s="19">
        <v>19.98</v>
      </c>
      <c r="F28" s="6">
        <v>260</v>
      </c>
      <c r="G28" s="2">
        <f>19.98/260</f>
        <v>7.6846153846153842E-2</v>
      </c>
      <c r="H28" s="12">
        <v>88</v>
      </c>
      <c r="I28" s="2">
        <f xml:space="preserve"> 260/88</f>
        <v>2.9545454545454546</v>
      </c>
      <c r="J28" s="2">
        <v>18</v>
      </c>
      <c r="K28" s="2">
        <f>18/88</f>
        <v>0.20454545454545456</v>
      </c>
      <c r="L28" s="49">
        <v>0.2</v>
      </c>
    </row>
    <row r="29" spans="1:12" ht="24.75" customHeight="1" x14ac:dyDescent="0.3">
      <c r="A29" s="9" t="s">
        <v>57</v>
      </c>
      <c r="B29" s="40" t="s">
        <v>279</v>
      </c>
      <c r="C29" s="40" t="s">
        <v>283</v>
      </c>
      <c r="D29" s="8">
        <v>411</v>
      </c>
      <c r="E29" s="16">
        <v>14.58</v>
      </c>
      <c r="F29" s="7">
        <v>257</v>
      </c>
      <c r="G29" s="1">
        <f>14.58/257</f>
        <v>5.6731517509727623E-2</v>
      </c>
      <c r="H29" s="12">
        <v>62</v>
      </c>
      <c r="I29" s="2">
        <f>257/62</f>
        <v>4.145161290322581</v>
      </c>
      <c r="J29" s="32">
        <v>60</v>
      </c>
      <c r="K29" s="2">
        <f>60/62</f>
        <v>0.967741935483871</v>
      </c>
      <c r="L29" s="45">
        <v>0.97</v>
      </c>
    </row>
    <row r="30" spans="1:12" ht="24.75" customHeight="1" x14ac:dyDescent="0.3">
      <c r="A30" s="78" t="s">
        <v>54</v>
      </c>
      <c r="B30" s="40" t="s">
        <v>280</v>
      </c>
      <c r="C30" s="40" t="s">
        <v>286</v>
      </c>
      <c r="D30" s="8">
        <v>133</v>
      </c>
      <c r="E30" s="18">
        <v>18.46</v>
      </c>
      <c r="F30" s="7">
        <v>257</v>
      </c>
      <c r="G30" s="1">
        <v>7.1830000000000005E-2</v>
      </c>
      <c r="H30" s="12">
        <v>121</v>
      </c>
      <c r="I30" s="2">
        <f>257/121</f>
        <v>2.1239669421487601</v>
      </c>
      <c r="J30" s="2">
        <v>20</v>
      </c>
      <c r="K30" s="2">
        <f>20/121</f>
        <v>0.16528925619834711</v>
      </c>
      <c r="L30" s="49">
        <v>0.17</v>
      </c>
    </row>
    <row r="31" spans="1:12" ht="24.75" customHeight="1" x14ac:dyDescent="0.3">
      <c r="A31" s="71" t="s">
        <v>58</v>
      </c>
      <c r="B31" s="35" t="s">
        <v>226</v>
      </c>
      <c r="C31" s="35" t="s">
        <v>288</v>
      </c>
      <c r="D31" s="8">
        <v>66</v>
      </c>
      <c r="E31" s="18">
        <v>15.02</v>
      </c>
      <c r="F31" s="7">
        <v>256</v>
      </c>
      <c r="G31" s="1">
        <f>15.02/256</f>
        <v>5.8671874999999998E-2</v>
      </c>
      <c r="H31" s="12">
        <v>44</v>
      </c>
      <c r="I31" s="2">
        <f>256/44</f>
        <v>5.8181818181818183</v>
      </c>
      <c r="J31" s="2">
        <v>25</v>
      </c>
      <c r="K31" s="2">
        <f>25/44</f>
        <v>0.56818181818181823</v>
      </c>
      <c r="L31" s="49">
        <v>0.56999999999999995</v>
      </c>
    </row>
    <row r="32" spans="1:12" ht="24.75" customHeight="1" x14ac:dyDescent="0.3">
      <c r="A32" s="29" t="s">
        <v>59</v>
      </c>
      <c r="B32" s="37"/>
      <c r="C32" s="37"/>
      <c r="D32" s="8">
        <v>820</v>
      </c>
      <c r="E32" s="18">
        <v>19.940000000000001</v>
      </c>
      <c r="F32" s="7">
        <v>255</v>
      </c>
      <c r="G32" s="1">
        <f>19.94/255</f>
        <v>7.8196078431372551E-2</v>
      </c>
      <c r="H32" s="12">
        <v>99</v>
      </c>
      <c r="I32" s="2">
        <f>255/99</f>
        <v>2.5757575757575757</v>
      </c>
      <c r="J32" s="2">
        <v>18</v>
      </c>
      <c r="K32" s="2">
        <f>18/99</f>
        <v>0.18181818181818182</v>
      </c>
      <c r="L32" s="49">
        <v>0.18</v>
      </c>
    </row>
    <row r="33" spans="1:12" ht="24.75" customHeight="1" x14ac:dyDescent="0.3">
      <c r="A33" s="2" t="s">
        <v>60</v>
      </c>
      <c r="B33" s="34" t="s">
        <v>225</v>
      </c>
      <c r="C33" s="34" t="s">
        <v>285</v>
      </c>
      <c r="D33" s="8">
        <v>1378</v>
      </c>
      <c r="E33" s="14">
        <v>10.3</v>
      </c>
      <c r="F33" s="5">
        <v>253</v>
      </c>
      <c r="G33" s="2">
        <f>10.3/253</f>
        <v>4.0711462450592886E-2</v>
      </c>
      <c r="H33" s="12">
        <v>101</v>
      </c>
      <c r="I33" s="2">
        <f>253/101</f>
        <v>2.504950495049505</v>
      </c>
      <c r="J33" s="2">
        <v>30</v>
      </c>
      <c r="K33" s="2">
        <f>30/101</f>
        <v>0.29702970297029702</v>
      </c>
      <c r="L33" s="47">
        <v>0.3</v>
      </c>
    </row>
    <row r="34" spans="1:12" ht="24.75" customHeight="1" x14ac:dyDescent="0.3">
      <c r="A34" s="12" t="s">
        <v>61</v>
      </c>
      <c r="B34" s="40" t="s">
        <v>279</v>
      </c>
      <c r="C34" s="40" t="s">
        <v>287</v>
      </c>
      <c r="D34" s="8">
        <v>776</v>
      </c>
      <c r="E34" s="14">
        <v>11.62</v>
      </c>
      <c r="F34" s="5">
        <v>251</v>
      </c>
      <c r="G34" s="2">
        <f>11.62/251</f>
        <v>4.6294820717131473E-2</v>
      </c>
      <c r="H34" s="12">
        <v>35</v>
      </c>
      <c r="I34" s="2">
        <f>251/35</f>
        <v>7.1714285714285717</v>
      </c>
      <c r="J34" s="2">
        <v>34</v>
      </c>
      <c r="K34" s="2">
        <f>34/35</f>
        <v>0.97142857142857142</v>
      </c>
      <c r="L34" s="45">
        <v>0.97</v>
      </c>
    </row>
    <row r="35" spans="1:12" ht="24.75" customHeight="1" x14ac:dyDescent="0.3">
      <c r="A35" s="9" t="s">
        <v>1</v>
      </c>
      <c r="B35" s="37"/>
      <c r="C35" s="37"/>
      <c r="D35" s="8">
        <v>143</v>
      </c>
      <c r="E35" s="18">
        <v>19.79</v>
      </c>
      <c r="F35" s="7">
        <v>245</v>
      </c>
      <c r="G35" s="1">
        <v>8.0780000000000005E-2</v>
      </c>
      <c r="H35" s="12">
        <v>78</v>
      </c>
      <c r="I35" s="2">
        <f>245/78</f>
        <v>3.141025641025641</v>
      </c>
      <c r="J35" s="2">
        <v>26</v>
      </c>
      <c r="K35" s="2">
        <f>26/78</f>
        <v>0.33333333333333331</v>
      </c>
      <c r="L35" s="49">
        <v>0.33</v>
      </c>
    </row>
    <row r="36" spans="1:12" ht="24.75" customHeight="1" x14ac:dyDescent="0.3">
      <c r="A36" s="1" t="s">
        <v>53</v>
      </c>
      <c r="B36" s="35" t="s">
        <v>260</v>
      </c>
      <c r="C36" s="35" t="s">
        <v>285</v>
      </c>
      <c r="D36" s="8">
        <v>112</v>
      </c>
      <c r="E36" s="20">
        <v>21.01</v>
      </c>
      <c r="F36" s="6">
        <v>245</v>
      </c>
      <c r="G36" s="2">
        <f>21.01/245</f>
        <v>8.5755102040816336E-2</v>
      </c>
      <c r="H36" s="12">
        <v>117</v>
      </c>
      <c r="I36" s="2">
        <f>245/117</f>
        <v>2.0940170940170941</v>
      </c>
      <c r="J36" s="2">
        <v>6</v>
      </c>
      <c r="K36" s="2">
        <f>6/117</f>
        <v>5.128205128205128E-2</v>
      </c>
      <c r="L36" s="50">
        <v>0.05</v>
      </c>
    </row>
    <row r="37" spans="1:12" ht="24.75" customHeight="1" x14ac:dyDescent="0.3">
      <c r="A37" s="2" t="s">
        <v>62</v>
      </c>
      <c r="B37" s="34" t="s">
        <v>261</v>
      </c>
      <c r="C37" s="34" t="s">
        <v>289</v>
      </c>
      <c r="D37" s="8">
        <v>307</v>
      </c>
      <c r="E37" s="17">
        <v>19.91</v>
      </c>
      <c r="F37" s="5">
        <v>244</v>
      </c>
      <c r="G37" s="2">
        <f>19.91/244</f>
        <v>8.1598360655737709E-2</v>
      </c>
      <c r="H37" s="12">
        <v>82</v>
      </c>
      <c r="I37" s="2">
        <f>244/82</f>
        <v>2.975609756097561</v>
      </c>
      <c r="J37" s="2">
        <v>16</v>
      </c>
      <c r="K37" s="2">
        <f>16/82</f>
        <v>0.1951219512195122</v>
      </c>
      <c r="L37" s="49">
        <v>0.2</v>
      </c>
    </row>
    <row r="38" spans="1:12" ht="24.75" customHeight="1" x14ac:dyDescent="0.3">
      <c r="A38" s="74" t="s">
        <v>0</v>
      </c>
      <c r="B38" s="40" t="s">
        <v>240</v>
      </c>
      <c r="C38" s="40"/>
      <c r="D38" s="8">
        <v>107</v>
      </c>
      <c r="E38" s="18">
        <v>18.2</v>
      </c>
      <c r="F38" s="7">
        <v>243</v>
      </c>
      <c r="G38" s="1">
        <v>7.4899999999999994E-2</v>
      </c>
      <c r="H38" s="12">
        <v>63</v>
      </c>
      <c r="I38" s="2">
        <f>243/63</f>
        <v>3.8571428571428572</v>
      </c>
      <c r="J38" s="2">
        <v>30</v>
      </c>
      <c r="K38" s="2">
        <f>30/63</f>
        <v>0.47619047619047616</v>
      </c>
      <c r="L38" s="49">
        <v>0.48</v>
      </c>
    </row>
    <row r="39" spans="1:12" ht="24.75" customHeight="1" x14ac:dyDescent="0.3">
      <c r="A39" s="12" t="s">
        <v>63</v>
      </c>
      <c r="B39" s="40" t="s">
        <v>279</v>
      </c>
      <c r="C39" s="36"/>
      <c r="D39" s="8">
        <v>493</v>
      </c>
      <c r="E39" s="17">
        <v>16.43</v>
      </c>
      <c r="F39" s="5">
        <v>241</v>
      </c>
      <c r="G39" s="2">
        <f>16.43/241</f>
        <v>6.8174273858921164E-2</v>
      </c>
      <c r="H39" s="12">
        <v>30</v>
      </c>
      <c r="I39" s="2">
        <f>241/30</f>
        <v>8.0333333333333332</v>
      </c>
      <c r="J39" s="2">
        <v>30</v>
      </c>
      <c r="K39" s="2">
        <v>1</v>
      </c>
      <c r="L39" s="45">
        <v>1</v>
      </c>
    </row>
    <row r="40" spans="1:12" ht="24.75" customHeight="1" x14ac:dyDescent="0.3">
      <c r="A40" s="68" t="s">
        <v>64</v>
      </c>
      <c r="B40" s="40" t="s">
        <v>279</v>
      </c>
      <c r="C40" s="40"/>
      <c r="D40" s="8">
        <v>165</v>
      </c>
      <c r="E40" s="17">
        <v>16.440000000000001</v>
      </c>
      <c r="F40" s="5">
        <v>238</v>
      </c>
      <c r="G40" s="2">
        <f>16.44/238</f>
        <v>6.9075630252100839E-2</v>
      </c>
      <c r="H40" s="12">
        <v>49</v>
      </c>
      <c r="I40" s="2">
        <f>238/49</f>
        <v>4.8571428571428568</v>
      </c>
      <c r="J40" s="2">
        <v>47</v>
      </c>
      <c r="K40" s="2">
        <f>47/49</f>
        <v>0.95918367346938771</v>
      </c>
      <c r="L40" s="45">
        <v>0.96</v>
      </c>
    </row>
    <row r="41" spans="1:12" ht="24.75" customHeight="1" x14ac:dyDescent="0.3">
      <c r="A41" s="4" t="s">
        <v>318</v>
      </c>
      <c r="B41" s="39" t="s">
        <v>227</v>
      </c>
      <c r="C41" s="39"/>
      <c r="D41" s="8">
        <v>197</v>
      </c>
      <c r="E41" s="20">
        <v>20.67</v>
      </c>
      <c r="F41" s="6">
        <v>238</v>
      </c>
      <c r="G41" s="2">
        <f>20.67/238</f>
        <v>8.6848739495798327E-2</v>
      </c>
      <c r="H41" s="12">
        <v>78</v>
      </c>
      <c r="I41" s="2">
        <f>238/78</f>
        <v>3.0512820512820511</v>
      </c>
      <c r="J41" s="2">
        <v>14</v>
      </c>
      <c r="K41" s="2">
        <f>14/78</f>
        <v>0.17948717948717949</v>
      </c>
      <c r="L41" s="49">
        <v>0.18</v>
      </c>
    </row>
    <row r="42" spans="1:12" ht="24.75" customHeight="1" x14ac:dyDescent="0.3">
      <c r="A42" s="2" t="s">
        <v>65</v>
      </c>
      <c r="B42" s="34" t="s">
        <v>239</v>
      </c>
      <c r="C42" s="34"/>
      <c r="D42" s="8">
        <v>1287</v>
      </c>
      <c r="E42" s="17">
        <v>15.5</v>
      </c>
      <c r="F42" s="5">
        <v>236</v>
      </c>
      <c r="G42" s="2">
        <f>15.5/236</f>
        <v>6.5677966101694921E-2</v>
      </c>
      <c r="H42" s="12">
        <v>76</v>
      </c>
      <c r="I42" s="2">
        <f>236/76</f>
        <v>3.1052631578947367</v>
      </c>
      <c r="J42" s="32">
        <v>76</v>
      </c>
      <c r="K42" s="2">
        <v>1</v>
      </c>
      <c r="L42" s="45">
        <v>1</v>
      </c>
    </row>
    <row r="43" spans="1:12" ht="24.75" customHeight="1" x14ac:dyDescent="0.3">
      <c r="A43" s="4" t="s">
        <v>67</v>
      </c>
      <c r="B43" s="39" t="s">
        <v>226</v>
      </c>
      <c r="C43" s="39" t="s">
        <v>315</v>
      </c>
      <c r="D43" s="8">
        <v>1389</v>
      </c>
      <c r="E43" s="14">
        <v>11.83</v>
      </c>
      <c r="F43" s="5">
        <v>234</v>
      </c>
      <c r="G43" s="2">
        <f>11.83/234</f>
        <v>5.0555555555555555E-2</v>
      </c>
      <c r="H43" s="12">
        <v>66</v>
      </c>
      <c r="I43" s="2">
        <f>234/66</f>
        <v>3.5454545454545454</v>
      </c>
      <c r="J43" s="2">
        <v>26</v>
      </c>
      <c r="K43" s="2">
        <f>26/66</f>
        <v>0.39393939393939392</v>
      </c>
      <c r="L43" s="49">
        <v>0.39</v>
      </c>
    </row>
    <row r="44" spans="1:12" ht="24.75" customHeight="1" x14ac:dyDescent="0.3">
      <c r="A44" s="68" t="s">
        <v>68</v>
      </c>
      <c r="B44" s="40" t="s">
        <v>279</v>
      </c>
      <c r="C44" s="40" t="s">
        <v>283</v>
      </c>
      <c r="D44" s="8">
        <v>835</v>
      </c>
      <c r="E44" s="14">
        <v>10.99</v>
      </c>
      <c r="F44" s="5">
        <v>233</v>
      </c>
      <c r="G44" s="2">
        <f>10.99/233</f>
        <v>4.7167381974248926E-2</v>
      </c>
      <c r="H44" s="12">
        <v>61</v>
      </c>
      <c r="I44" s="2">
        <f>233/61</f>
        <v>3.819672131147541</v>
      </c>
      <c r="J44" s="32">
        <v>61</v>
      </c>
      <c r="K44" s="2">
        <v>1</v>
      </c>
      <c r="L44" s="45">
        <v>1</v>
      </c>
    </row>
    <row r="45" spans="1:12" ht="24.75" customHeight="1" x14ac:dyDescent="0.3">
      <c r="A45" s="68" t="s">
        <v>66</v>
      </c>
      <c r="B45" s="40" t="s">
        <v>279</v>
      </c>
      <c r="C45" s="40"/>
      <c r="D45" s="8">
        <v>797</v>
      </c>
      <c r="E45" s="17">
        <v>15.97</v>
      </c>
      <c r="F45" s="5">
        <v>233</v>
      </c>
      <c r="G45" s="2">
        <f>15.97/233</f>
        <v>6.8540772532188848E-2</v>
      </c>
      <c r="H45" s="12">
        <v>52</v>
      </c>
      <c r="I45" s="2">
        <f>233/52</f>
        <v>4.4807692307692308</v>
      </c>
      <c r="J45" s="2">
        <v>23</v>
      </c>
      <c r="K45" s="2">
        <f>23/52</f>
        <v>0.44230769230769229</v>
      </c>
      <c r="L45" s="49">
        <v>0.44</v>
      </c>
    </row>
    <row r="46" spans="1:12" ht="24.75" customHeight="1" x14ac:dyDescent="0.3">
      <c r="A46" s="53" t="s">
        <v>22</v>
      </c>
      <c r="B46" s="34" t="s">
        <v>250</v>
      </c>
      <c r="C46" s="34"/>
      <c r="D46" s="8">
        <v>14</v>
      </c>
      <c r="E46" s="20">
        <v>23.06</v>
      </c>
      <c r="F46" s="6">
        <v>231</v>
      </c>
      <c r="G46" s="2">
        <f>23.06/231</f>
        <v>9.9826839826839819E-2</v>
      </c>
      <c r="H46" s="12">
        <v>71</v>
      </c>
      <c r="I46" s="2">
        <f xml:space="preserve"> 231/71</f>
        <v>3.2535211267605635</v>
      </c>
      <c r="J46" s="2">
        <v>8</v>
      </c>
      <c r="K46" s="2">
        <f>8/71</f>
        <v>0.11267605633802817</v>
      </c>
      <c r="L46" s="50">
        <v>0.11</v>
      </c>
    </row>
    <row r="47" spans="1:12" ht="24.75" customHeight="1" x14ac:dyDescent="0.3">
      <c r="A47" s="2" t="s">
        <v>69</v>
      </c>
      <c r="B47" s="34" t="s">
        <v>249</v>
      </c>
      <c r="C47" s="34"/>
      <c r="D47" s="8">
        <v>1135</v>
      </c>
      <c r="E47" s="17">
        <v>17.5</v>
      </c>
      <c r="F47" s="5">
        <v>228</v>
      </c>
      <c r="G47" s="2">
        <f>17.5/228</f>
        <v>7.6754385964912283E-2</v>
      </c>
      <c r="H47" s="12">
        <v>76</v>
      </c>
      <c r="I47" s="2">
        <f>228/76</f>
        <v>3</v>
      </c>
      <c r="J47" s="2">
        <v>19</v>
      </c>
      <c r="K47" s="2">
        <f>19/76</f>
        <v>0.25</v>
      </c>
      <c r="L47" s="49">
        <v>0.25</v>
      </c>
    </row>
    <row r="48" spans="1:12" ht="24.75" customHeight="1" x14ac:dyDescent="0.3">
      <c r="A48" s="58" t="s">
        <v>73</v>
      </c>
      <c r="B48" s="39" t="s">
        <v>228</v>
      </c>
      <c r="C48" s="39" t="s">
        <v>315</v>
      </c>
      <c r="D48" s="31">
        <v>880</v>
      </c>
      <c r="E48" s="14">
        <v>10.88</v>
      </c>
      <c r="F48" s="5">
        <v>226</v>
      </c>
      <c r="G48" s="2">
        <f>10.88/226</f>
        <v>4.8141592920353984E-2</v>
      </c>
      <c r="H48" s="12">
        <v>24</v>
      </c>
      <c r="I48" s="2">
        <f>226/24</f>
        <v>9.4166666666666661</v>
      </c>
      <c r="J48" s="2">
        <v>13</v>
      </c>
      <c r="K48" s="2">
        <f>13/24</f>
        <v>0.54166666666666663</v>
      </c>
      <c r="L48" s="49">
        <v>0.54</v>
      </c>
    </row>
    <row r="49" spans="1:12" ht="24.75" customHeight="1" x14ac:dyDescent="0.3">
      <c r="A49" s="4" t="s">
        <v>72</v>
      </c>
      <c r="B49" s="39" t="s">
        <v>246</v>
      </c>
      <c r="C49" s="39"/>
      <c r="D49" s="31">
        <v>854</v>
      </c>
      <c r="E49" s="17">
        <v>17.54</v>
      </c>
      <c r="F49" s="5">
        <v>226</v>
      </c>
      <c r="G49" s="2">
        <f>17.54/226</f>
        <v>7.7610619469026546E-2</v>
      </c>
      <c r="H49" s="12">
        <v>40</v>
      </c>
      <c r="I49" s="2">
        <f>226/40</f>
        <v>5.65</v>
      </c>
      <c r="J49" s="2">
        <v>18</v>
      </c>
      <c r="K49" s="2">
        <f>18/40</f>
        <v>0.45</v>
      </c>
      <c r="L49" s="49">
        <v>0.45</v>
      </c>
    </row>
    <row r="50" spans="1:12" ht="24.75" customHeight="1" x14ac:dyDescent="0.3">
      <c r="A50" s="68" t="s">
        <v>71</v>
      </c>
      <c r="B50" s="42" t="s">
        <v>279</v>
      </c>
      <c r="C50" s="42" t="s">
        <v>314</v>
      </c>
      <c r="D50" s="31">
        <v>809</v>
      </c>
      <c r="E50" s="22">
        <v>21.62</v>
      </c>
      <c r="F50" s="5">
        <v>226</v>
      </c>
      <c r="G50" s="2">
        <f>21.62/226</f>
        <v>9.5663716814159291E-2</v>
      </c>
      <c r="H50" s="12">
        <v>26</v>
      </c>
      <c r="I50" s="2">
        <f>226/26</f>
        <v>8.6923076923076916</v>
      </c>
      <c r="J50" s="2">
        <v>14</v>
      </c>
      <c r="K50" s="2">
        <f>14/26</f>
        <v>0.53846153846153844</v>
      </c>
      <c r="L50" s="49">
        <v>0.54</v>
      </c>
    </row>
    <row r="51" spans="1:12" ht="24.75" customHeight="1" x14ac:dyDescent="0.3">
      <c r="A51" s="11" t="s">
        <v>74</v>
      </c>
      <c r="B51" s="40" t="s">
        <v>240</v>
      </c>
      <c r="C51" s="40"/>
      <c r="D51" s="31">
        <v>419</v>
      </c>
      <c r="E51" s="22">
        <v>20.9</v>
      </c>
      <c r="F51" s="5">
        <v>225</v>
      </c>
      <c r="G51" s="2">
        <f>20.9/225</f>
        <v>9.2888888888888882E-2</v>
      </c>
      <c r="H51" s="12">
        <v>57</v>
      </c>
      <c r="I51" s="2">
        <f>225/57</f>
        <v>3.9473684210526314</v>
      </c>
      <c r="J51" s="2">
        <v>25</v>
      </c>
      <c r="K51" s="2">
        <f>25/57</f>
        <v>0.43859649122807015</v>
      </c>
      <c r="L51" s="49">
        <v>0.44</v>
      </c>
    </row>
    <row r="52" spans="1:12" ht="24.75" customHeight="1" x14ac:dyDescent="0.3">
      <c r="A52" s="4" t="s">
        <v>80</v>
      </c>
      <c r="B52" s="39" t="s">
        <v>258</v>
      </c>
      <c r="C52" s="39" t="s">
        <v>288</v>
      </c>
      <c r="D52" s="31">
        <v>1106</v>
      </c>
      <c r="E52" s="17">
        <v>18.940000000000001</v>
      </c>
      <c r="F52" s="5">
        <v>224</v>
      </c>
      <c r="G52" s="2">
        <f>18.94/224</f>
        <v>8.4553571428571436E-2</v>
      </c>
      <c r="H52" s="12">
        <v>59</v>
      </c>
      <c r="I52" s="2">
        <f>224/59</f>
        <v>3.7966101694915255</v>
      </c>
      <c r="J52" s="2">
        <v>18</v>
      </c>
      <c r="K52" s="2">
        <f>18/59</f>
        <v>0.30508474576271188</v>
      </c>
      <c r="L52" s="49">
        <v>0.3</v>
      </c>
    </row>
    <row r="53" spans="1:12" ht="24.75" customHeight="1" x14ac:dyDescent="0.3">
      <c r="A53" s="58" t="s">
        <v>82</v>
      </c>
      <c r="B53" s="39"/>
      <c r="C53" s="39"/>
      <c r="D53" s="31">
        <v>3149</v>
      </c>
      <c r="E53" s="17">
        <v>16.649999999999999</v>
      </c>
      <c r="F53" s="5">
        <v>222</v>
      </c>
      <c r="G53" s="2">
        <f>16.65/222</f>
        <v>7.4999999999999997E-2</v>
      </c>
      <c r="H53" s="12">
        <v>32</v>
      </c>
      <c r="I53" s="2">
        <f>222/32</f>
        <v>6.9375</v>
      </c>
      <c r="J53" s="2">
        <v>32</v>
      </c>
      <c r="K53" s="2">
        <v>1</v>
      </c>
      <c r="L53" s="45">
        <v>1</v>
      </c>
    </row>
    <row r="54" spans="1:12" ht="24.75" customHeight="1" x14ac:dyDescent="0.3">
      <c r="A54" s="72" t="s">
        <v>75</v>
      </c>
      <c r="B54" s="40" t="s">
        <v>240</v>
      </c>
      <c r="C54" s="40"/>
      <c r="D54" s="31">
        <v>89</v>
      </c>
      <c r="E54" s="22">
        <v>21.33</v>
      </c>
      <c r="F54" s="5">
        <v>220</v>
      </c>
      <c r="G54" s="2">
        <f>21.33/220</f>
        <v>9.6954545454545446E-2</v>
      </c>
      <c r="H54" s="12">
        <v>44</v>
      </c>
      <c r="I54" s="2">
        <f>220/44</f>
        <v>5</v>
      </c>
      <c r="J54" s="2">
        <v>20</v>
      </c>
      <c r="K54" s="2">
        <f>20/44</f>
        <v>0.45454545454545453</v>
      </c>
      <c r="L54" s="49">
        <v>0.45</v>
      </c>
    </row>
    <row r="55" spans="1:12" ht="24.75" customHeight="1" x14ac:dyDescent="0.3">
      <c r="A55" s="11" t="s">
        <v>79</v>
      </c>
      <c r="B55" s="40" t="s">
        <v>240</v>
      </c>
      <c r="C55" s="40"/>
      <c r="D55" s="31">
        <v>478</v>
      </c>
      <c r="E55" s="17">
        <v>19.190000000000001</v>
      </c>
      <c r="F55" s="5">
        <v>219</v>
      </c>
      <c r="G55" s="2">
        <f>19.19/219</f>
        <v>8.7625570776255712E-2</v>
      </c>
      <c r="H55" s="12">
        <v>32</v>
      </c>
      <c r="I55" s="2">
        <f>219/32</f>
        <v>6.84375</v>
      </c>
      <c r="J55" s="2">
        <v>22</v>
      </c>
      <c r="K55" s="2">
        <f>22/32</f>
        <v>0.6875</v>
      </c>
      <c r="L55" s="49">
        <v>0.69</v>
      </c>
    </row>
    <row r="56" spans="1:12" ht="24.75" customHeight="1" x14ac:dyDescent="0.3">
      <c r="A56" s="4" t="s">
        <v>76</v>
      </c>
      <c r="B56" s="39" t="s">
        <v>256</v>
      </c>
      <c r="C56" s="39" t="s">
        <v>288</v>
      </c>
      <c r="D56" s="31">
        <v>31</v>
      </c>
      <c r="E56" s="17">
        <v>18.5</v>
      </c>
      <c r="F56" s="5">
        <v>216</v>
      </c>
      <c r="G56" s="2">
        <f>18.5/216</f>
        <v>8.5648148148148154E-2</v>
      </c>
      <c r="H56" s="12">
        <v>42</v>
      </c>
      <c r="I56" s="2">
        <f>216/42</f>
        <v>5.1428571428571432</v>
      </c>
      <c r="J56" s="2">
        <v>20</v>
      </c>
      <c r="K56" s="2">
        <f>20/42</f>
        <v>0.47619047619047616</v>
      </c>
      <c r="L56" s="49">
        <v>0.48</v>
      </c>
    </row>
    <row r="57" spans="1:12" ht="24.75" customHeight="1" x14ac:dyDescent="0.3">
      <c r="A57" s="72" t="s">
        <v>78</v>
      </c>
      <c r="B57" s="40" t="s">
        <v>240</v>
      </c>
      <c r="C57" s="40"/>
      <c r="D57" s="31">
        <v>500</v>
      </c>
      <c r="E57" s="22">
        <v>21.95</v>
      </c>
      <c r="F57" s="5">
        <v>215</v>
      </c>
      <c r="G57" s="2">
        <f>21.95/215</f>
        <v>0.10209302325581394</v>
      </c>
      <c r="H57" s="12">
        <v>23</v>
      </c>
      <c r="I57" s="2">
        <f>215/23</f>
        <v>9.3478260869565215</v>
      </c>
      <c r="J57" s="2">
        <v>17</v>
      </c>
      <c r="K57" s="2">
        <f>17/23</f>
        <v>0.73913043478260865</v>
      </c>
      <c r="L57" s="49">
        <v>0.74</v>
      </c>
    </row>
    <row r="58" spans="1:12" ht="24.75" customHeight="1" x14ac:dyDescent="0.3">
      <c r="A58" s="4" t="s">
        <v>77</v>
      </c>
      <c r="B58" s="39" t="s">
        <v>229</v>
      </c>
      <c r="C58" s="39"/>
      <c r="D58" s="31">
        <v>916</v>
      </c>
      <c r="E58" s="17">
        <v>17.61</v>
      </c>
      <c r="F58" s="5">
        <v>212</v>
      </c>
      <c r="G58" s="2">
        <f>17.61/212</f>
        <v>8.3066037735849058E-2</v>
      </c>
      <c r="H58" s="12">
        <v>55</v>
      </c>
      <c r="I58" s="2">
        <f>212/55</f>
        <v>3.8545454545454545</v>
      </c>
      <c r="J58" s="2">
        <v>14</v>
      </c>
      <c r="K58" s="2">
        <f>14/55</f>
        <v>0.25454545454545452</v>
      </c>
      <c r="L58" s="49">
        <v>0.25</v>
      </c>
    </row>
    <row r="59" spans="1:12" ht="24.75" customHeight="1" x14ac:dyDescent="0.3">
      <c r="A59" s="4" t="s">
        <v>81</v>
      </c>
      <c r="B59" s="40" t="s">
        <v>279</v>
      </c>
      <c r="C59" s="40"/>
      <c r="D59" s="31">
        <v>3016</v>
      </c>
      <c r="E59" s="17">
        <v>15.52</v>
      </c>
      <c r="F59" s="5">
        <v>211</v>
      </c>
      <c r="G59" s="2">
        <f>15.52/211</f>
        <v>7.3554502369668248E-2</v>
      </c>
      <c r="H59" s="12">
        <v>61</v>
      </c>
      <c r="I59" s="2">
        <f>211/61</f>
        <v>3.459016393442623</v>
      </c>
      <c r="J59" s="32">
        <v>60</v>
      </c>
      <c r="K59" s="2">
        <f>60/61</f>
        <v>0.98360655737704916</v>
      </c>
      <c r="L59" s="45">
        <v>0.98</v>
      </c>
    </row>
    <row r="60" spans="1:12" ht="24.75" customHeight="1" x14ac:dyDescent="0.3">
      <c r="A60" s="60" t="s">
        <v>83</v>
      </c>
      <c r="B60" s="34" t="s">
        <v>221</v>
      </c>
      <c r="C60" s="34"/>
      <c r="D60" s="31">
        <v>1357</v>
      </c>
      <c r="E60" s="17">
        <v>15.55</v>
      </c>
      <c r="F60" s="5">
        <v>209</v>
      </c>
      <c r="G60" s="2">
        <f>15.57/209</f>
        <v>7.4497607655502396E-2</v>
      </c>
      <c r="H60" s="12">
        <v>94</v>
      </c>
      <c r="I60" s="2">
        <f>209/94</f>
        <v>2.2234042553191489</v>
      </c>
      <c r="J60" s="2">
        <v>12</v>
      </c>
      <c r="K60" s="2">
        <f>12/94</f>
        <v>0.1276595744680851</v>
      </c>
      <c r="L60" s="50">
        <v>0.13</v>
      </c>
    </row>
    <row r="61" spans="1:12" ht="24.75" customHeight="1" x14ac:dyDescent="0.3">
      <c r="A61" s="9" t="s">
        <v>10</v>
      </c>
      <c r="B61" s="37"/>
      <c r="C61" s="37"/>
      <c r="D61" s="8">
        <v>134</v>
      </c>
      <c r="E61" s="20">
        <v>22.29</v>
      </c>
      <c r="F61" s="6">
        <v>209</v>
      </c>
      <c r="G61" s="2">
        <f>22.29/209</f>
        <v>0.10665071770334927</v>
      </c>
      <c r="H61" s="12">
        <v>37</v>
      </c>
      <c r="I61" s="2">
        <f>209/37</f>
        <v>5.6486486486486482</v>
      </c>
      <c r="J61" s="2">
        <v>15</v>
      </c>
      <c r="K61" s="2">
        <f>15/37</f>
        <v>0.40540540540540543</v>
      </c>
      <c r="L61" s="49">
        <v>0.41</v>
      </c>
    </row>
    <row r="62" spans="1:12" ht="24.75" customHeight="1" x14ac:dyDescent="0.3">
      <c r="A62" s="2" t="s">
        <v>84</v>
      </c>
      <c r="B62" s="34" t="s">
        <v>242</v>
      </c>
      <c r="C62" s="34"/>
      <c r="D62" s="8">
        <v>275</v>
      </c>
      <c r="E62" s="17">
        <v>17.010000000000002</v>
      </c>
      <c r="F62" s="5">
        <v>208</v>
      </c>
      <c r="G62" s="2">
        <f>17.01/208</f>
        <v>8.177884615384616E-2</v>
      </c>
      <c r="H62" s="12">
        <v>41</v>
      </c>
      <c r="I62" s="2">
        <f>208/41</f>
        <v>5.0731707317073171</v>
      </c>
      <c r="J62" s="2">
        <v>22</v>
      </c>
      <c r="K62" s="2">
        <f>22/41</f>
        <v>0.53658536585365857</v>
      </c>
      <c r="L62" s="49">
        <v>0.54</v>
      </c>
    </row>
    <row r="63" spans="1:12" ht="24.75" customHeight="1" x14ac:dyDescent="0.3">
      <c r="A63" s="12" t="s">
        <v>85</v>
      </c>
      <c r="B63" s="36"/>
      <c r="C63" s="36"/>
      <c r="D63" s="8">
        <v>781</v>
      </c>
      <c r="E63" s="22">
        <v>23.76</v>
      </c>
      <c r="F63" s="5">
        <v>208</v>
      </c>
      <c r="G63" s="2">
        <f>23.76/208</f>
        <v>0.11423076923076923</v>
      </c>
      <c r="H63" s="12">
        <v>44</v>
      </c>
      <c r="I63" s="2">
        <f>208/44</f>
        <v>4.7272727272727275</v>
      </c>
      <c r="J63" s="2">
        <v>12</v>
      </c>
      <c r="K63" s="2">
        <f>12/44</f>
        <v>0.27272727272727271</v>
      </c>
      <c r="L63" s="49">
        <v>0.27</v>
      </c>
    </row>
    <row r="64" spans="1:12" ht="24.75" customHeight="1" x14ac:dyDescent="0.3">
      <c r="A64" s="29" t="s">
        <v>55</v>
      </c>
      <c r="B64" s="41" t="s">
        <v>280</v>
      </c>
      <c r="C64" s="41" t="s">
        <v>286</v>
      </c>
      <c r="D64" s="8">
        <v>78</v>
      </c>
      <c r="E64" s="21">
        <v>24.03</v>
      </c>
      <c r="F64" s="7">
        <v>208</v>
      </c>
      <c r="G64" s="1">
        <v>0.11552999999999999</v>
      </c>
      <c r="H64" s="12">
        <v>83</v>
      </c>
      <c r="I64" s="2">
        <f>208/83</f>
        <v>2.5060240963855422</v>
      </c>
      <c r="J64" s="2">
        <v>4</v>
      </c>
      <c r="K64" s="2">
        <f>4/83</f>
        <v>4.8192771084337352E-2</v>
      </c>
      <c r="L64" s="50">
        <v>0.05</v>
      </c>
    </row>
    <row r="65" spans="1:12" ht="24.75" customHeight="1" x14ac:dyDescent="0.3">
      <c r="A65" s="12" t="s">
        <v>86</v>
      </c>
      <c r="B65" s="40" t="s">
        <v>279</v>
      </c>
      <c r="C65" s="40" t="s">
        <v>311</v>
      </c>
      <c r="D65" s="8">
        <v>481</v>
      </c>
      <c r="E65" s="17">
        <v>15</v>
      </c>
      <c r="F65" s="5">
        <v>207</v>
      </c>
      <c r="G65" s="2">
        <f>15/207</f>
        <v>7.2463768115942032E-2</v>
      </c>
      <c r="H65" s="12">
        <v>32</v>
      </c>
      <c r="I65" s="2">
        <f>207/32</f>
        <v>6.46875</v>
      </c>
      <c r="J65" s="2">
        <v>32</v>
      </c>
      <c r="K65" s="2">
        <v>1</v>
      </c>
      <c r="L65" s="45">
        <v>1</v>
      </c>
    </row>
    <row r="66" spans="1:12" ht="24.75" customHeight="1" x14ac:dyDescent="0.3">
      <c r="A66" s="2" t="s">
        <v>20</v>
      </c>
      <c r="B66" s="34" t="s">
        <v>270</v>
      </c>
      <c r="C66" s="34" t="s">
        <v>290</v>
      </c>
      <c r="D66" s="8">
        <v>4</v>
      </c>
      <c r="E66" s="20">
        <v>22.56</v>
      </c>
      <c r="F66" s="6">
        <v>207</v>
      </c>
      <c r="G66" s="2">
        <f>22.56/207</f>
        <v>0.1089855072463768</v>
      </c>
      <c r="H66" s="12">
        <v>44</v>
      </c>
      <c r="I66" s="2">
        <f>207/44</f>
        <v>4.7045454545454541</v>
      </c>
      <c r="J66" s="2">
        <v>13</v>
      </c>
      <c r="K66" s="2">
        <f>13/44</f>
        <v>0.29545454545454547</v>
      </c>
      <c r="L66" s="49">
        <v>0.3</v>
      </c>
    </row>
    <row r="67" spans="1:12" ht="24.75" customHeight="1" x14ac:dyDescent="0.3">
      <c r="A67" s="2" t="s">
        <v>87</v>
      </c>
      <c r="B67" s="34" t="s">
        <v>263</v>
      </c>
      <c r="C67" s="34"/>
      <c r="D67" s="8">
        <v>184</v>
      </c>
      <c r="E67" s="22">
        <v>20.98</v>
      </c>
      <c r="F67" s="5">
        <v>206</v>
      </c>
      <c r="G67" s="2">
        <f>20.98/206</f>
        <v>0.10184466019417476</v>
      </c>
      <c r="H67" s="12">
        <v>39</v>
      </c>
      <c r="I67" s="2">
        <f>206/39</f>
        <v>5.2820512820512819</v>
      </c>
      <c r="J67" s="2">
        <v>13</v>
      </c>
      <c r="K67" s="2">
        <f>13/39</f>
        <v>0.33333333333333331</v>
      </c>
      <c r="L67" s="49">
        <v>0.33</v>
      </c>
    </row>
    <row r="68" spans="1:12" ht="24.75" customHeight="1" x14ac:dyDescent="0.3">
      <c r="A68" s="9" t="s">
        <v>2</v>
      </c>
      <c r="B68" s="37"/>
      <c r="C68" s="37"/>
      <c r="D68" s="8">
        <v>140</v>
      </c>
      <c r="E68" s="21">
        <v>20.8</v>
      </c>
      <c r="F68" s="7">
        <v>205</v>
      </c>
      <c r="G68" s="1">
        <v>0.10145999999999999</v>
      </c>
      <c r="H68" s="12">
        <v>39</v>
      </c>
      <c r="I68" s="2">
        <f>205/39</f>
        <v>5.2564102564102564</v>
      </c>
      <c r="J68" s="2">
        <v>15</v>
      </c>
      <c r="K68" s="2">
        <f>15/39</f>
        <v>0.38461538461538464</v>
      </c>
      <c r="L68" s="49">
        <v>0.38</v>
      </c>
    </row>
    <row r="69" spans="1:12" ht="24.75" customHeight="1" x14ac:dyDescent="0.3">
      <c r="A69" s="2" t="s">
        <v>88</v>
      </c>
      <c r="B69" s="34" t="s">
        <v>245</v>
      </c>
      <c r="C69" s="34"/>
      <c r="D69" s="8">
        <v>62</v>
      </c>
      <c r="E69" s="17">
        <v>17.45</v>
      </c>
      <c r="F69" s="5">
        <v>204</v>
      </c>
      <c r="G69" s="2">
        <f>17.45/204</f>
        <v>8.5539215686274511E-2</v>
      </c>
      <c r="H69" s="12">
        <v>50</v>
      </c>
      <c r="I69" s="2">
        <f>204/50</f>
        <v>4.08</v>
      </c>
      <c r="J69" s="2">
        <v>18</v>
      </c>
      <c r="K69" s="2">
        <f>18/50</f>
        <v>0.36</v>
      </c>
      <c r="L69" s="49">
        <v>0.36</v>
      </c>
    </row>
    <row r="70" spans="1:12" ht="24.75" customHeight="1" x14ac:dyDescent="0.3">
      <c r="A70" s="10" t="s">
        <v>12</v>
      </c>
      <c r="B70" s="34" t="s">
        <v>232</v>
      </c>
      <c r="C70" s="34"/>
      <c r="D70" s="8">
        <v>841</v>
      </c>
      <c r="E70" s="19">
        <v>17.48</v>
      </c>
      <c r="F70" s="6">
        <v>203</v>
      </c>
      <c r="G70" s="2">
        <f>17.48/203</f>
        <v>8.610837438423645E-2</v>
      </c>
      <c r="H70" s="12">
        <v>38</v>
      </c>
      <c r="I70" s="2">
        <f>203/38</f>
        <v>5.3421052631578947</v>
      </c>
      <c r="J70" s="2">
        <v>25</v>
      </c>
      <c r="K70" s="2">
        <f>25/38</f>
        <v>0.65789473684210531</v>
      </c>
      <c r="L70" s="49">
        <v>0.66</v>
      </c>
    </row>
    <row r="71" spans="1:12" ht="24.75" customHeight="1" x14ac:dyDescent="0.3">
      <c r="A71" s="30" t="s">
        <v>89</v>
      </c>
      <c r="B71" s="40" t="s">
        <v>240</v>
      </c>
      <c r="C71" s="40"/>
      <c r="D71" s="8">
        <v>474</v>
      </c>
      <c r="E71" s="17">
        <v>18.7</v>
      </c>
      <c r="F71" s="5">
        <v>202</v>
      </c>
      <c r="G71" s="2">
        <f>18.7/202</f>
        <v>9.2574257425742573E-2</v>
      </c>
      <c r="H71" s="12">
        <v>34</v>
      </c>
      <c r="I71" s="2">
        <f>202/34</f>
        <v>5.9411764705882355</v>
      </c>
      <c r="J71" s="2">
        <v>32</v>
      </c>
      <c r="K71" s="2">
        <f>32/34</f>
        <v>0.94117647058823528</v>
      </c>
      <c r="L71" s="45">
        <v>0.94</v>
      </c>
    </row>
    <row r="72" spans="1:12" ht="24.75" customHeight="1" x14ac:dyDescent="0.3">
      <c r="A72" s="2" t="s">
        <v>17</v>
      </c>
      <c r="B72" s="34" t="s">
        <v>260</v>
      </c>
      <c r="C72" s="34" t="s">
        <v>285</v>
      </c>
      <c r="D72" s="8">
        <v>79</v>
      </c>
      <c r="E72" s="19">
        <v>19.55</v>
      </c>
      <c r="F72" s="6">
        <v>196</v>
      </c>
      <c r="G72" s="2">
        <f>19.55/196</f>
        <v>9.9744897959183676E-2</v>
      </c>
      <c r="H72" s="12">
        <v>85</v>
      </c>
      <c r="I72" s="2">
        <f>196/85</f>
        <v>2.3058823529411763</v>
      </c>
      <c r="J72" s="2">
        <v>16</v>
      </c>
      <c r="K72" s="2">
        <f>16/85</f>
        <v>0.18823529411764706</v>
      </c>
      <c r="L72" s="49">
        <v>0.19</v>
      </c>
    </row>
    <row r="73" spans="1:12" ht="24.75" customHeight="1" x14ac:dyDescent="0.3">
      <c r="A73" s="2" t="s">
        <v>90</v>
      </c>
      <c r="B73" s="34" t="s">
        <v>222</v>
      </c>
      <c r="C73" s="34"/>
      <c r="D73" s="8">
        <v>185</v>
      </c>
      <c r="E73" s="22">
        <v>22.5</v>
      </c>
      <c r="F73" s="6">
        <v>193</v>
      </c>
      <c r="G73" s="2">
        <f>22.5/193</f>
        <v>0.11658031088082901</v>
      </c>
      <c r="H73" s="12">
        <v>32</v>
      </c>
      <c r="I73" s="2">
        <f>193/32</f>
        <v>6.03125</v>
      </c>
      <c r="J73" s="2">
        <v>10</v>
      </c>
      <c r="K73" s="2">
        <f>10/32</f>
        <v>0.3125</v>
      </c>
      <c r="L73" s="49">
        <v>0.31</v>
      </c>
    </row>
    <row r="74" spans="1:12" ht="24.75" customHeight="1" x14ac:dyDescent="0.3">
      <c r="A74" s="2" t="s">
        <v>91</v>
      </c>
      <c r="B74" s="34" t="s">
        <v>262</v>
      </c>
      <c r="C74" s="34"/>
      <c r="D74" s="8">
        <v>35</v>
      </c>
      <c r="E74" s="22">
        <v>20.3</v>
      </c>
      <c r="F74" s="6">
        <v>192</v>
      </c>
      <c r="G74" s="2">
        <f>20.3/192</f>
        <v>0.10572916666666667</v>
      </c>
      <c r="H74" s="12">
        <v>39</v>
      </c>
      <c r="I74" s="2">
        <f>192/39</f>
        <v>4.9230769230769234</v>
      </c>
      <c r="J74" s="2">
        <v>13</v>
      </c>
      <c r="K74" s="2">
        <f>13/39</f>
        <v>0.33333333333333331</v>
      </c>
      <c r="L74" s="49">
        <v>0.33</v>
      </c>
    </row>
    <row r="75" spans="1:12" ht="24.75" customHeight="1" x14ac:dyDescent="0.3">
      <c r="A75" s="10" t="s">
        <v>92</v>
      </c>
      <c r="B75" s="34" t="s">
        <v>229</v>
      </c>
      <c r="C75" s="34"/>
      <c r="D75" s="8">
        <v>64</v>
      </c>
      <c r="E75" s="14">
        <v>11.98</v>
      </c>
      <c r="F75" s="6">
        <v>191</v>
      </c>
      <c r="G75" s="2">
        <f>11.98/191</f>
        <v>6.2722513089005241E-2</v>
      </c>
      <c r="H75" s="12">
        <v>49</v>
      </c>
      <c r="I75" s="2">
        <f>191/49</f>
        <v>3.8979591836734695</v>
      </c>
      <c r="J75" s="2">
        <v>24</v>
      </c>
      <c r="K75" s="2">
        <f>24/49</f>
        <v>0.48979591836734693</v>
      </c>
      <c r="L75" s="47">
        <v>0.49</v>
      </c>
    </row>
    <row r="76" spans="1:12" ht="24.75" customHeight="1" x14ac:dyDescent="0.3">
      <c r="A76" s="2" t="s">
        <v>93</v>
      </c>
      <c r="B76" s="36"/>
      <c r="C76" s="40" t="s">
        <v>313</v>
      </c>
      <c r="D76" s="8">
        <v>862</v>
      </c>
      <c r="E76" s="17">
        <v>19.8</v>
      </c>
      <c r="F76" s="6">
        <v>191</v>
      </c>
      <c r="G76" s="2">
        <f>19.8/191</f>
        <v>0.10366492146596859</v>
      </c>
      <c r="H76" s="12">
        <v>50</v>
      </c>
      <c r="I76" s="2">
        <f>191/50</f>
        <v>3.82</v>
      </c>
      <c r="J76" s="2">
        <v>48</v>
      </c>
      <c r="K76" s="2">
        <f>48/50</f>
        <v>0.96</v>
      </c>
      <c r="L76" s="45">
        <v>0.96</v>
      </c>
    </row>
    <row r="77" spans="1:12" ht="24.75" customHeight="1" x14ac:dyDescent="0.3">
      <c r="A77" s="2" t="s">
        <v>21</v>
      </c>
      <c r="B77" s="34" t="s">
        <v>276</v>
      </c>
      <c r="C77" s="34"/>
      <c r="D77" s="8">
        <v>6</v>
      </c>
      <c r="E77" s="24">
        <v>29.17</v>
      </c>
      <c r="F77" s="6">
        <v>189</v>
      </c>
      <c r="G77" s="2">
        <f>29.17/189</f>
        <v>0.15433862433862436</v>
      </c>
      <c r="H77" s="12">
        <v>87</v>
      </c>
      <c r="I77" s="2">
        <f>189/87</f>
        <v>2.1724137931034484</v>
      </c>
      <c r="J77" s="2">
        <v>6</v>
      </c>
      <c r="K77" s="2">
        <f>6/87</f>
        <v>6.8965517241379309E-2</v>
      </c>
      <c r="L77" s="50">
        <v>7.0000000000000007E-2</v>
      </c>
    </row>
    <row r="78" spans="1:12" ht="24.75" customHeight="1" x14ac:dyDescent="0.3">
      <c r="A78" s="70" t="s">
        <v>96</v>
      </c>
      <c r="B78" s="40" t="s">
        <v>279</v>
      </c>
      <c r="C78" s="36"/>
      <c r="D78" s="8">
        <v>435</v>
      </c>
      <c r="E78" s="17">
        <v>17.25</v>
      </c>
      <c r="F78" s="6">
        <v>188</v>
      </c>
      <c r="G78" s="2">
        <f>17.25/188</f>
        <v>9.1755319148936171E-2</v>
      </c>
      <c r="H78" s="12">
        <v>64</v>
      </c>
      <c r="I78" s="2">
        <f>188/64</f>
        <v>2.9375</v>
      </c>
      <c r="J78" s="2">
        <v>14</v>
      </c>
      <c r="K78" s="2">
        <f>14/64</f>
        <v>0.21875</v>
      </c>
      <c r="L78" s="49">
        <v>0.22</v>
      </c>
    </row>
    <row r="79" spans="1:12" ht="24.75" customHeight="1" x14ac:dyDescent="0.3">
      <c r="A79" s="2" t="s">
        <v>100</v>
      </c>
      <c r="B79" s="34" t="s">
        <v>244</v>
      </c>
      <c r="C79" s="34"/>
      <c r="D79" s="8">
        <v>16019</v>
      </c>
      <c r="E79" s="19">
        <v>16.03</v>
      </c>
      <c r="F79" s="6">
        <v>187</v>
      </c>
      <c r="G79" s="2">
        <f>16.03/187</f>
        <v>8.5721925133689841E-2</v>
      </c>
      <c r="H79" s="12">
        <v>20</v>
      </c>
      <c r="I79" s="2">
        <f>187/20</f>
        <v>9.35</v>
      </c>
      <c r="J79" s="2">
        <v>19</v>
      </c>
      <c r="K79" s="2">
        <f>19/20</f>
        <v>0.95</v>
      </c>
      <c r="L79" s="45">
        <v>0.95</v>
      </c>
    </row>
    <row r="80" spans="1:12" ht="24.75" customHeight="1" x14ac:dyDescent="0.3">
      <c r="A80" s="2" t="s">
        <v>99</v>
      </c>
      <c r="B80" s="34" t="s">
        <v>252</v>
      </c>
      <c r="C80" s="34"/>
      <c r="D80" s="8">
        <v>5323</v>
      </c>
      <c r="E80" s="17">
        <v>19.77</v>
      </c>
      <c r="F80" s="6">
        <v>187</v>
      </c>
      <c r="G80" s="2">
        <f>19.77/187</f>
        <v>0.10572192513368983</v>
      </c>
      <c r="H80" s="12">
        <v>38</v>
      </c>
      <c r="I80" s="2">
        <f>187/38</f>
        <v>4.9210526315789478</v>
      </c>
      <c r="J80" s="2">
        <v>38</v>
      </c>
      <c r="K80" s="2">
        <v>1</v>
      </c>
      <c r="L80" s="45">
        <v>1</v>
      </c>
    </row>
    <row r="81" spans="1:12" ht="24.75" customHeight="1" x14ac:dyDescent="0.3">
      <c r="A81" s="2" t="s">
        <v>98</v>
      </c>
      <c r="B81" s="36"/>
      <c r="C81" s="40" t="s">
        <v>313</v>
      </c>
      <c r="D81" s="8">
        <v>863</v>
      </c>
      <c r="E81" s="22">
        <v>20.62</v>
      </c>
      <c r="F81" s="6">
        <v>187</v>
      </c>
      <c r="G81" s="2">
        <f>20.62/187</f>
        <v>0.11026737967914439</v>
      </c>
      <c r="H81" s="12">
        <v>28</v>
      </c>
      <c r="I81" s="2">
        <f>187/28</f>
        <v>6.6785714285714288</v>
      </c>
      <c r="J81" s="2">
        <v>28</v>
      </c>
      <c r="K81" s="2">
        <v>1</v>
      </c>
      <c r="L81" s="45">
        <v>1</v>
      </c>
    </row>
    <row r="82" spans="1:12" ht="24.75" customHeight="1" x14ac:dyDescent="0.3">
      <c r="A82" s="2" t="s">
        <v>97</v>
      </c>
      <c r="B82" s="34" t="s">
        <v>264</v>
      </c>
      <c r="C82" s="34"/>
      <c r="D82" s="8">
        <v>226</v>
      </c>
      <c r="E82" s="22">
        <v>20.8</v>
      </c>
      <c r="F82" s="6">
        <v>187</v>
      </c>
      <c r="G82" s="2">
        <f>20.8/187</f>
        <v>0.11122994652406418</v>
      </c>
      <c r="H82" s="12">
        <v>24</v>
      </c>
      <c r="I82" s="2">
        <f>187/24</f>
        <v>7.791666666666667</v>
      </c>
      <c r="J82" s="2">
        <v>13</v>
      </c>
      <c r="K82" s="2">
        <f>13/24</f>
        <v>0.54166666666666663</v>
      </c>
      <c r="L82" s="49">
        <v>0.54</v>
      </c>
    </row>
    <row r="83" spans="1:12" ht="24.75" customHeight="1" x14ac:dyDescent="0.3">
      <c r="A83" s="53" t="s">
        <v>101</v>
      </c>
      <c r="B83" s="36"/>
      <c r="C83" s="36"/>
      <c r="D83" s="8">
        <v>926</v>
      </c>
      <c r="E83" s="15">
        <v>14.98</v>
      </c>
      <c r="F83" s="6">
        <v>186</v>
      </c>
      <c r="G83" s="2">
        <f>14.98/186</f>
        <v>8.0537634408602149E-2</v>
      </c>
      <c r="H83" s="12">
        <v>29</v>
      </c>
      <c r="I83" s="2">
        <f>186/29</f>
        <v>6.4137931034482758</v>
      </c>
      <c r="J83" s="2">
        <v>29</v>
      </c>
      <c r="K83" s="2">
        <v>1</v>
      </c>
      <c r="L83" s="45">
        <v>1</v>
      </c>
    </row>
    <row r="84" spans="1:12" ht="24.75" customHeight="1" x14ac:dyDescent="0.3">
      <c r="A84" s="2" t="s">
        <v>102</v>
      </c>
      <c r="B84" s="34" t="s">
        <v>220</v>
      </c>
      <c r="C84" s="34"/>
      <c r="D84" s="8">
        <v>83</v>
      </c>
      <c r="E84" s="24">
        <v>27.84</v>
      </c>
      <c r="F84" s="6">
        <v>185</v>
      </c>
      <c r="G84" s="2">
        <f>27.84/185</f>
        <v>0.15048648648648649</v>
      </c>
      <c r="H84" s="12">
        <v>59</v>
      </c>
      <c r="I84" s="2">
        <f>185/59</f>
        <v>3.1355932203389831</v>
      </c>
      <c r="J84" s="2">
        <v>10</v>
      </c>
      <c r="K84" s="2">
        <f>10/59</f>
        <v>0.16949152542372881</v>
      </c>
      <c r="L84" s="49">
        <v>0.17</v>
      </c>
    </row>
    <row r="85" spans="1:12" ht="24.75" customHeight="1" x14ac:dyDescent="0.3">
      <c r="A85" s="53" t="s">
        <v>104</v>
      </c>
      <c r="B85" s="34" t="s">
        <v>243</v>
      </c>
      <c r="C85" s="34" t="s">
        <v>291</v>
      </c>
      <c r="D85" s="8">
        <v>889</v>
      </c>
      <c r="E85" s="19">
        <v>17.28</v>
      </c>
      <c r="F85" s="6">
        <v>183</v>
      </c>
      <c r="G85" s="2">
        <f>17.28/183</f>
        <v>9.4426229508196721E-2</v>
      </c>
      <c r="H85" s="12">
        <v>31</v>
      </c>
      <c r="I85" s="2">
        <f>183/31</f>
        <v>5.903225806451613</v>
      </c>
      <c r="J85" s="2">
        <v>18</v>
      </c>
      <c r="K85" s="2">
        <f>18/31</f>
        <v>0.58064516129032262</v>
      </c>
      <c r="L85" s="49">
        <v>0.57999999999999996</v>
      </c>
    </row>
    <row r="86" spans="1:12" ht="24.75" customHeight="1" x14ac:dyDescent="0.3">
      <c r="A86" s="2" t="s">
        <v>103</v>
      </c>
      <c r="B86" s="36"/>
      <c r="C86" s="36"/>
      <c r="D86" s="8">
        <v>271</v>
      </c>
      <c r="E86" s="20">
        <v>20.52</v>
      </c>
      <c r="F86" s="6">
        <v>183</v>
      </c>
      <c r="G86" s="2">
        <f>20.52/183</f>
        <v>0.11213114754098361</v>
      </c>
      <c r="H86" s="12">
        <v>39</v>
      </c>
      <c r="I86" s="2">
        <f>183/39</f>
        <v>4.6923076923076925</v>
      </c>
      <c r="J86" s="2">
        <v>37</v>
      </c>
      <c r="K86" s="2">
        <f>37/39</f>
        <v>0.94871794871794868</v>
      </c>
      <c r="L86" s="45">
        <v>0.95</v>
      </c>
    </row>
    <row r="87" spans="1:12" ht="24.75" customHeight="1" x14ac:dyDescent="0.3">
      <c r="A87" s="10" t="s">
        <v>106</v>
      </c>
      <c r="B87" s="34" t="s">
        <v>217</v>
      </c>
      <c r="C87" s="34"/>
      <c r="D87" s="8">
        <v>1326</v>
      </c>
      <c r="E87" s="19">
        <v>15.26</v>
      </c>
      <c r="F87" s="6">
        <v>182</v>
      </c>
      <c r="G87" s="2">
        <f>15.26/182</f>
        <v>8.3846153846153848E-2</v>
      </c>
      <c r="H87" s="12">
        <v>16</v>
      </c>
      <c r="I87" s="2">
        <f>182/16</f>
        <v>11.375</v>
      </c>
      <c r="J87" s="2">
        <v>15</v>
      </c>
      <c r="K87" s="2">
        <f>15/16</f>
        <v>0.9375</v>
      </c>
      <c r="L87" s="45">
        <v>0.94</v>
      </c>
    </row>
    <row r="88" spans="1:12" ht="24.75" customHeight="1" x14ac:dyDescent="0.3">
      <c r="A88" s="70" t="s">
        <v>105</v>
      </c>
      <c r="B88" s="40" t="s">
        <v>279</v>
      </c>
      <c r="C88" s="40"/>
      <c r="D88" s="8">
        <v>414</v>
      </c>
      <c r="E88" s="19">
        <v>15.89</v>
      </c>
      <c r="F88" s="6">
        <v>182</v>
      </c>
      <c r="G88" s="2">
        <f>15.89/182</f>
        <v>8.7307692307692308E-2</v>
      </c>
      <c r="H88" s="12">
        <v>19</v>
      </c>
      <c r="I88" s="2">
        <f>182/19</f>
        <v>9.5789473684210531</v>
      </c>
      <c r="J88" s="2">
        <v>19</v>
      </c>
      <c r="K88" s="2">
        <v>1</v>
      </c>
      <c r="L88" s="45">
        <v>1</v>
      </c>
    </row>
    <row r="89" spans="1:12" ht="24.75" customHeight="1" x14ac:dyDescent="0.3">
      <c r="A89" s="12" t="s">
        <v>107</v>
      </c>
      <c r="B89" s="40" t="s">
        <v>279</v>
      </c>
      <c r="C89" s="40" t="s">
        <v>283</v>
      </c>
      <c r="D89" s="8">
        <v>1969</v>
      </c>
      <c r="E89" s="15">
        <v>11.97</v>
      </c>
      <c r="F89" s="6">
        <v>181</v>
      </c>
      <c r="G89" s="2">
        <f>11.97/181</f>
        <v>6.6132596685082881E-2</v>
      </c>
      <c r="H89" s="12">
        <v>29</v>
      </c>
      <c r="I89" s="2">
        <f>181/29</f>
        <v>6.2413793103448274</v>
      </c>
      <c r="J89" s="2">
        <v>29</v>
      </c>
      <c r="K89" s="2">
        <v>1</v>
      </c>
      <c r="L89" s="45">
        <v>1</v>
      </c>
    </row>
    <row r="90" spans="1:12" ht="24.75" customHeight="1" x14ac:dyDescent="0.3">
      <c r="A90" s="2" t="s">
        <v>108</v>
      </c>
      <c r="B90" s="34" t="s">
        <v>251</v>
      </c>
      <c r="C90" s="34"/>
      <c r="D90" s="8">
        <v>965</v>
      </c>
      <c r="E90" s="19">
        <v>17.39</v>
      </c>
      <c r="F90" s="6">
        <v>180</v>
      </c>
      <c r="G90" s="2">
        <f>17.39/180</f>
        <v>9.661111111111112E-2</v>
      </c>
      <c r="H90" s="12">
        <v>24</v>
      </c>
      <c r="I90" s="2">
        <f>180/24</f>
        <v>7.5</v>
      </c>
      <c r="J90" s="2">
        <v>13</v>
      </c>
      <c r="K90" s="2">
        <f>13/24</f>
        <v>0.54166666666666663</v>
      </c>
      <c r="L90" s="49">
        <v>0.54</v>
      </c>
    </row>
    <row r="91" spans="1:12" ht="24.75" customHeight="1" x14ac:dyDescent="0.3">
      <c r="A91" s="2" t="s">
        <v>109</v>
      </c>
      <c r="B91" s="36"/>
      <c r="C91" s="40" t="s">
        <v>313</v>
      </c>
      <c r="D91" s="8">
        <v>2491</v>
      </c>
      <c r="E91" s="19">
        <v>15.3</v>
      </c>
      <c r="F91" s="6">
        <v>179</v>
      </c>
      <c r="G91" s="2">
        <f>15.3/179</f>
        <v>8.5474860335195538E-2</v>
      </c>
      <c r="H91" s="12">
        <v>40</v>
      </c>
      <c r="I91" s="2">
        <f>179/40</f>
        <v>4.4749999999999996</v>
      </c>
      <c r="J91" s="2">
        <v>40</v>
      </c>
      <c r="K91" s="2">
        <v>1</v>
      </c>
      <c r="L91" s="45">
        <v>1</v>
      </c>
    </row>
    <row r="92" spans="1:12" ht="24.75" customHeight="1" x14ac:dyDescent="0.3">
      <c r="A92" s="59" t="s">
        <v>110</v>
      </c>
      <c r="B92" s="34" t="s">
        <v>252</v>
      </c>
      <c r="C92" s="34"/>
      <c r="D92" s="8">
        <v>5423</v>
      </c>
      <c r="E92" s="19">
        <v>18.23</v>
      </c>
      <c r="F92" s="6">
        <v>179</v>
      </c>
      <c r="G92" s="2">
        <f>18.23/179</f>
        <v>0.10184357541899441</v>
      </c>
      <c r="H92" s="12">
        <v>51</v>
      </c>
      <c r="I92" s="2">
        <f>179/51</f>
        <v>3.5098039215686274</v>
      </c>
      <c r="J92" s="32">
        <v>51</v>
      </c>
      <c r="K92" s="2">
        <v>1</v>
      </c>
      <c r="L92" s="45">
        <v>1</v>
      </c>
    </row>
    <row r="93" spans="1:12" ht="24.75" customHeight="1" x14ac:dyDescent="0.3">
      <c r="A93" s="76" t="s">
        <v>30</v>
      </c>
      <c r="B93" s="39" t="s">
        <v>278</v>
      </c>
      <c r="C93" s="39"/>
      <c r="D93" s="8">
        <v>110</v>
      </c>
      <c r="E93" s="25">
        <v>31.1</v>
      </c>
      <c r="F93" s="6">
        <v>179</v>
      </c>
      <c r="G93" s="2">
        <f>31.1/179</f>
        <v>0.17374301675977655</v>
      </c>
      <c r="H93" s="12">
        <v>28</v>
      </c>
      <c r="I93" s="2">
        <f>179/28</f>
        <v>6.3928571428571432</v>
      </c>
      <c r="J93" s="2">
        <v>6</v>
      </c>
      <c r="K93" s="2">
        <f>6/28</f>
        <v>0.21428571428571427</v>
      </c>
      <c r="L93" s="49">
        <v>0.21</v>
      </c>
    </row>
    <row r="94" spans="1:12" ht="24.75" customHeight="1" x14ac:dyDescent="0.3">
      <c r="A94" s="59" t="s">
        <v>111</v>
      </c>
      <c r="B94" s="40" t="s">
        <v>279</v>
      </c>
      <c r="C94" s="36"/>
      <c r="D94" s="8">
        <v>2971</v>
      </c>
      <c r="E94" s="17">
        <v>15.16</v>
      </c>
      <c r="F94" s="6">
        <v>178</v>
      </c>
      <c r="G94" s="2">
        <f>15.16/178</f>
        <v>8.5168539325842701E-2</v>
      </c>
      <c r="H94" s="12">
        <v>40</v>
      </c>
      <c r="I94" s="2">
        <f>178/40</f>
        <v>4.45</v>
      </c>
      <c r="J94" s="2">
        <v>40</v>
      </c>
      <c r="K94" s="2">
        <v>1</v>
      </c>
      <c r="L94" s="45">
        <v>1</v>
      </c>
    </row>
    <row r="95" spans="1:12" ht="24.75" customHeight="1" x14ac:dyDescent="0.3">
      <c r="A95" s="2" t="s">
        <v>112</v>
      </c>
      <c r="B95" s="34" t="s">
        <v>276</v>
      </c>
      <c r="C95" s="34"/>
      <c r="D95" s="8">
        <v>750</v>
      </c>
      <c r="E95" s="23">
        <v>27.27</v>
      </c>
      <c r="F95" s="6">
        <v>177</v>
      </c>
      <c r="G95" s="2">
        <f>27.27/179</f>
        <v>0.15234636871508381</v>
      </c>
      <c r="H95" s="12">
        <v>53</v>
      </c>
      <c r="I95" s="2">
        <f>177/53</f>
        <v>3.3396226415094339</v>
      </c>
      <c r="J95" s="2">
        <v>9</v>
      </c>
      <c r="K95" s="2">
        <f>9/53</f>
        <v>0.16981132075471697</v>
      </c>
      <c r="L95" s="49">
        <v>0.17</v>
      </c>
    </row>
    <row r="96" spans="1:12" ht="24.75" customHeight="1" x14ac:dyDescent="0.3">
      <c r="A96" s="12" t="s">
        <v>113</v>
      </c>
      <c r="B96" s="40" t="s">
        <v>279</v>
      </c>
      <c r="C96" s="40" t="s">
        <v>283</v>
      </c>
      <c r="D96" s="8">
        <v>821</v>
      </c>
      <c r="E96" s="17">
        <v>16.75</v>
      </c>
      <c r="F96" s="6">
        <v>176</v>
      </c>
      <c r="G96" s="2">
        <f>16.75/176</f>
        <v>9.5170454545454544E-2</v>
      </c>
      <c r="H96" s="12">
        <v>42</v>
      </c>
      <c r="I96" s="2">
        <f>176/42</f>
        <v>4.1904761904761907</v>
      </c>
      <c r="J96" s="2">
        <v>40</v>
      </c>
      <c r="K96" s="2">
        <f>40/42</f>
        <v>0.95238095238095233</v>
      </c>
      <c r="L96" s="45">
        <v>0.95</v>
      </c>
    </row>
    <row r="97" spans="1:12" ht="24.75" customHeight="1" x14ac:dyDescent="0.3">
      <c r="A97" s="12" t="s">
        <v>114</v>
      </c>
      <c r="B97" s="40" t="s">
        <v>279</v>
      </c>
      <c r="C97" s="40" t="s">
        <v>283</v>
      </c>
      <c r="D97" s="8">
        <v>2762</v>
      </c>
      <c r="E97" s="44">
        <v>9.69</v>
      </c>
      <c r="F97" s="6">
        <v>175</v>
      </c>
      <c r="G97" s="2">
        <f>9.69/175</f>
        <v>5.5371428571428571E-2</v>
      </c>
      <c r="H97" s="12">
        <v>26</v>
      </c>
      <c r="I97" s="2">
        <f>175/26</f>
        <v>6.7307692307692308</v>
      </c>
      <c r="J97" s="2">
        <v>26</v>
      </c>
      <c r="K97" s="2">
        <v>1</v>
      </c>
      <c r="L97" s="45">
        <v>1</v>
      </c>
    </row>
    <row r="98" spans="1:12" ht="24.75" customHeight="1" x14ac:dyDescent="0.3">
      <c r="A98" s="59" t="s">
        <v>116</v>
      </c>
      <c r="B98" s="34" t="s">
        <v>227</v>
      </c>
      <c r="C98" s="34"/>
      <c r="D98" s="8">
        <v>1719</v>
      </c>
      <c r="E98" s="22">
        <v>24.24</v>
      </c>
      <c r="F98" s="6">
        <v>174</v>
      </c>
      <c r="G98" s="2">
        <f>24.24/174</f>
        <v>0.1393103448275862</v>
      </c>
      <c r="H98" s="12">
        <v>24</v>
      </c>
      <c r="I98" s="2">
        <f>174/24</f>
        <v>7.25</v>
      </c>
      <c r="J98" s="2">
        <v>7</v>
      </c>
      <c r="K98" s="2">
        <f>7/24</f>
        <v>0.29166666666666669</v>
      </c>
      <c r="L98" s="49">
        <v>0.28999999999999998</v>
      </c>
    </row>
    <row r="99" spans="1:12" ht="24.75" customHeight="1" x14ac:dyDescent="0.3">
      <c r="A99" s="12" t="s">
        <v>115</v>
      </c>
      <c r="B99" s="36"/>
      <c r="C99" s="36"/>
      <c r="D99" s="8">
        <v>149</v>
      </c>
      <c r="E99" s="27">
        <v>30.32</v>
      </c>
      <c r="F99" s="6">
        <v>174</v>
      </c>
      <c r="G99" s="2">
        <f>30.32/174</f>
        <v>0.17425287356321839</v>
      </c>
      <c r="H99" s="12">
        <v>38</v>
      </c>
      <c r="I99" s="2">
        <f>174/38</f>
        <v>4.5789473684210522</v>
      </c>
      <c r="J99" s="2">
        <v>15</v>
      </c>
      <c r="K99" s="2">
        <f>15/38</f>
        <v>0.39473684210526316</v>
      </c>
      <c r="L99" s="49">
        <v>0.39</v>
      </c>
    </row>
    <row r="100" spans="1:12" ht="24.75" customHeight="1" x14ac:dyDescent="0.3">
      <c r="A100" s="2" t="s">
        <v>119</v>
      </c>
      <c r="B100" s="34" t="s">
        <v>246</v>
      </c>
      <c r="C100" s="34" t="s">
        <v>282</v>
      </c>
      <c r="D100" s="8">
        <v>154</v>
      </c>
      <c r="E100" s="22">
        <v>20.73</v>
      </c>
      <c r="F100" s="6">
        <v>173</v>
      </c>
      <c r="G100" s="2">
        <f>20.73/173</f>
        <v>0.11982658959537572</v>
      </c>
      <c r="H100" s="12">
        <v>42</v>
      </c>
      <c r="I100" s="2">
        <f>173/42</f>
        <v>4.1190476190476186</v>
      </c>
      <c r="J100" s="2">
        <v>7</v>
      </c>
      <c r="K100" s="2">
        <f>7/42</f>
        <v>0.16666666666666666</v>
      </c>
      <c r="L100" s="49">
        <v>0.17</v>
      </c>
    </row>
    <row r="101" spans="1:12" ht="24.75" customHeight="1" x14ac:dyDescent="0.3">
      <c r="A101" s="30" t="s">
        <v>117</v>
      </c>
      <c r="B101" s="40" t="s">
        <v>240</v>
      </c>
      <c r="C101" s="40"/>
      <c r="D101" s="8">
        <v>91</v>
      </c>
      <c r="E101" s="23">
        <v>27.99</v>
      </c>
      <c r="F101" s="6">
        <v>173</v>
      </c>
      <c r="G101" s="2">
        <f>27.99/173</f>
        <v>0.16179190751445086</v>
      </c>
      <c r="H101" s="12">
        <v>34</v>
      </c>
      <c r="I101" s="2">
        <f>173/34</f>
        <v>5.0882352941176467</v>
      </c>
      <c r="J101" s="2">
        <v>24</v>
      </c>
      <c r="K101" s="2">
        <f>24/34</f>
        <v>0.70588235294117652</v>
      </c>
      <c r="L101" s="49">
        <v>0.71</v>
      </c>
    </row>
    <row r="102" spans="1:12" ht="24.75" customHeight="1" x14ac:dyDescent="0.3">
      <c r="A102" s="2" t="s">
        <v>118</v>
      </c>
      <c r="B102" s="34" t="s">
        <v>221</v>
      </c>
      <c r="C102" s="34"/>
      <c r="D102" s="8">
        <v>114</v>
      </c>
      <c r="E102" s="23">
        <v>28.33</v>
      </c>
      <c r="F102" s="6">
        <v>173</v>
      </c>
      <c r="G102" s="2">
        <f>28.33/173</f>
        <v>0.163757225433526</v>
      </c>
      <c r="H102" s="12">
        <v>34</v>
      </c>
      <c r="I102" s="2">
        <f>173/34</f>
        <v>5.0882352941176467</v>
      </c>
      <c r="J102" s="2">
        <v>31</v>
      </c>
      <c r="K102" s="2">
        <f>31/34</f>
        <v>0.91176470588235292</v>
      </c>
      <c r="L102" s="45">
        <v>0.91</v>
      </c>
    </row>
    <row r="103" spans="1:12" ht="24.75" customHeight="1" x14ac:dyDescent="0.3">
      <c r="A103" s="59" t="s">
        <v>120</v>
      </c>
      <c r="B103" s="34" t="s">
        <v>235</v>
      </c>
      <c r="C103" s="34"/>
      <c r="D103" s="8">
        <v>6499</v>
      </c>
      <c r="E103" s="14">
        <v>13.19</v>
      </c>
      <c r="F103" s="6">
        <v>172</v>
      </c>
      <c r="G103" s="2">
        <f>13.19/172</f>
        <v>7.6686046511627901E-2</v>
      </c>
      <c r="H103" s="12">
        <v>21</v>
      </c>
      <c r="I103" s="2">
        <f>172/21</f>
        <v>8.1904761904761898</v>
      </c>
      <c r="J103" s="2">
        <v>21</v>
      </c>
      <c r="K103" s="2">
        <v>1</v>
      </c>
      <c r="L103" s="45">
        <v>1</v>
      </c>
    </row>
    <row r="104" spans="1:12" ht="24.75" customHeight="1" x14ac:dyDescent="0.3">
      <c r="A104" s="12" t="s">
        <v>121</v>
      </c>
      <c r="B104" s="40" t="s">
        <v>279</v>
      </c>
      <c r="C104" s="40" t="s">
        <v>283</v>
      </c>
      <c r="D104" s="8">
        <v>571</v>
      </c>
      <c r="E104" s="22">
        <v>22.72</v>
      </c>
      <c r="F104" s="6">
        <v>171</v>
      </c>
      <c r="G104" s="2">
        <f>22.72/171</f>
        <v>0.13286549707602338</v>
      </c>
      <c r="H104" s="12">
        <v>33</v>
      </c>
      <c r="I104" s="2">
        <f>171/33</f>
        <v>5.1818181818181817</v>
      </c>
      <c r="J104" s="2">
        <v>31</v>
      </c>
      <c r="K104" s="2">
        <f>31/33</f>
        <v>0.93939393939393945</v>
      </c>
      <c r="L104" s="45">
        <v>0.94</v>
      </c>
    </row>
    <row r="105" spans="1:12" ht="24.75" customHeight="1" x14ac:dyDescent="0.3">
      <c r="A105" s="10" t="s">
        <v>70</v>
      </c>
      <c r="B105" s="34" t="s">
        <v>221</v>
      </c>
      <c r="C105" s="34"/>
      <c r="D105" s="8">
        <v>1981</v>
      </c>
      <c r="E105" s="14">
        <v>11.71</v>
      </c>
      <c r="F105" s="5">
        <v>170</v>
      </c>
      <c r="G105" s="2">
        <f>11.71/170</f>
        <v>6.8882352941176478E-2</v>
      </c>
      <c r="H105" s="12">
        <v>45</v>
      </c>
      <c r="I105" s="2">
        <f>170/45</f>
        <v>3.7777777777777777</v>
      </c>
      <c r="J105" s="2">
        <v>14</v>
      </c>
      <c r="K105" s="2">
        <f>14/45</f>
        <v>0.31111111111111112</v>
      </c>
      <c r="L105" s="49">
        <v>0.31</v>
      </c>
    </row>
    <row r="106" spans="1:12" ht="24.75" customHeight="1" x14ac:dyDescent="0.3">
      <c r="A106" s="1" t="s">
        <v>8</v>
      </c>
      <c r="B106" s="35" t="s">
        <v>268</v>
      </c>
      <c r="C106" s="35"/>
      <c r="D106" s="8">
        <v>298</v>
      </c>
      <c r="E106" s="20">
        <v>21.28</v>
      </c>
      <c r="F106" s="6">
        <v>169</v>
      </c>
      <c r="G106" s="2">
        <f>21.28/169</f>
        <v>0.12591715976331361</v>
      </c>
      <c r="H106" s="12">
        <v>26</v>
      </c>
      <c r="I106" s="2">
        <f>169/26</f>
        <v>6.5</v>
      </c>
      <c r="J106" s="2">
        <v>9</v>
      </c>
      <c r="K106" s="2">
        <f>9/26</f>
        <v>0.34615384615384615</v>
      </c>
      <c r="L106" s="49">
        <v>0.35</v>
      </c>
    </row>
    <row r="107" spans="1:12" ht="24.75" customHeight="1" x14ac:dyDescent="0.3">
      <c r="A107" s="12" t="s">
        <v>123</v>
      </c>
      <c r="B107" s="36"/>
      <c r="C107" s="36"/>
      <c r="D107" s="8">
        <v>1204</v>
      </c>
      <c r="E107" s="22">
        <v>20.02</v>
      </c>
      <c r="F107" s="6">
        <v>168</v>
      </c>
      <c r="G107" s="2">
        <f>20.02/168</f>
        <v>0.11916666666666667</v>
      </c>
      <c r="H107" s="12">
        <v>23</v>
      </c>
      <c r="I107" s="2">
        <f>168/23</f>
        <v>7.3043478260869561</v>
      </c>
      <c r="J107" s="2">
        <v>13</v>
      </c>
      <c r="K107" s="2">
        <f>13/23</f>
        <v>0.56521739130434778</v>
      </c>
      <c r="L107" s="49">
        <v>0.56999999999999995</v>
      </c>
    </row>
    <row r="108" spans="1:12" ht="24.75" customHeight="1" x14ac:dyDescent="0.3">
      <c r="A108" s="2" t="s">
        <v>122</v>
      </c>
      <c r="B108" s="34" t="s">
        <v>260</v>
      </c>
      <c r="C108" s="34" t="s">
        <v>285</v>
      </c>
      <c r="D108" s="8">
        <v>310</v>
      </c>
      <c r="E108" s="22">
        <v>23.92</v>
      </c>
      <c r="F108" s="6">
        <v>168</v>
      </c>
      <c r="G108" s="2">
        <f>23.92/168</f>
        <v>0.14238095238095239</v>
      </c>
      <c r="H108" s="12">
        <v>42</v>
      </c>
      <c r="I108" s="2">
        <f>168/42</f>
        <v>4</v>
      </c>
      <c r="J108" s="2">
        <v>10</v>
      </c>
      <c r="K108" s="2">
        <f>10/42</f>
        <v>0.23809523809523808</v>
      </c>
      <c r="L108" s="49">
        <v>0.24</v>
      </c>
    </row>
    <row r="109" spans="1:12" ht="24.75" customHeight="1" x14ac:dyDescent="0.3">
      <c r="A109" s="59" t="s">
        <v>125</v>
      </c>
      <c r="B109" s="34" t="s">
        <v>227</v>
      </c>
      <c r="C109" s="34"/>
      <c r="D109" s="8">
        <v>4425</v>
      </c>
      <c r="E109" s="17">
        <v>15.68</v>
      </c>
      <c r="F109" s="6">
        <v>167</v>
      </c>
      <c r="G109" s="2">
        <f>15.68/167</f>
        <v>9.3892215568862278E-2</v>
      </c>
      <c r="H109" s="12">
        <v>51</v>
      </c>
      <c r="I109" s="2">
        <f>167/51</f>
        <v>3.2745098039215685</v>
      </c>
      <c r="J109" s="2">
        <v>26</v>
      </c>
      <c r="K109" s="2">
        <f>26/51</f>
        <v>0.50980392156862742</v>
      </c>
      <c r="L109" s="49">
        <v>0.51</v>
      </c>
    </row>
    <row r="110" spans="1:12" ht="24.75" customHeight="1" x14ac:dyDescent="0.3">
      <c r="A110" s="2" t="s">
        <v>124</v>
      </c>
      <c r="B110" s="34" t="s">
        <v>256</v>
      </c>
      <c r="C110" s="34" t="s">
        <v>288</v>
      </c>
      <c r="D110" s="8">
        <v>9</v>
      </c>
      <c r="E110" s="17">
        <v>19.440000000000001</v>
      </c>
      <c r="F110" s="6">
        <v>167</v>
      </c>
      <c r="G110" s="2">
        <f>19.44/167</f>
        <v>0.11640718562874253</v>
      </c>
      <c r="H110" s="12">
        <v>34</v>
      </c>
      <c r="I110" s="2">
        <f>167/34</f>
        <v>4.9117647058823533</v>
      </c>
      <c r="J110" s="2">
        <v>14</v>
      </c>
      <c r="K110" s="2">
        <f>14/34</f>
        <v>0.41176470588235292</v>
      </c>
      <c r="L110" s="49">
        <v>0.41</v>
      </c>
    </row>
    <row r="111" spans="1:12" ht="24.75" customHeight="1" x14ac:dyDescent="0.3">
      <c r="A111" s="59" t="s">
        <v>127</v>
      </c>
      <c r="B111" s="34" t="s">
        <v>231</v>
      </c>
      <c r="C111" s="34"/>
      <c r="D111" s="8">
        <v>5781</v>
      </c>
      <c r="E111" s="14">
        <v>12.81</v>
      </c>
      <c r="F111" s="6">
        <v>166</v>
      </c>
      <c r="G111" s="2">
        <f>12.81/166</f>
        <v>7.7168674698795181E-2</v>
      </c>
      <c r="H111" s="12">
        <v>31</v>
      </c>
      <c r="I111" s="2">
        <f>166/31</f>
        <v>5.354838709677419</v>
      </c>
      <c r="J111" s="2">
        <v>31</v>
      </c>
      <c r="K111" s="2">
        <v>1</v>
      </c>
      <c r="L111" s="45">
        <v>1</v>
      </c>
    </row>
    <row r="112" spans="1:12" ht="24.75" customHeight="1" x14ac:dyDescent="0.3">
      <c r="A112" s="10" t="s">
        <v>126</v>
      </c>
      <c r="B112" s="34" t="s">
        <v>217</v>
      </c>
      <c r="C112" s="34"/>
      <c r="D112" s="8">
        <v>3023</v>
      </c>
      <c r="E112" s="17">
        <v>18.39</v>
      </c>
      <c r="F112" s="6">
        <v>166</v>
      </c>
      <c r="G112" s="2">
        <f>18.39/166</f>
        <v>0.11078313253012048</v>
      </c>
      <c r="H112" s="12">
        <v>18</v>
      </c>
      <c r="I112" s="2">
        <f>166/18</f>
        <v>9.2222222222222214</v>
      </c>
      <c r="J112" s="2">
        <v>18</v>
      </c>
      <c r="K112" s="2">
        <v>1</v>
      </c>
      <c r="L112" s="45">
        <v>1</v>
      </c>
    </row>
    <row r="113" spans="1:12" ht="24.75" customHeight="1" x14ac:dyDescent="0.3">
      <c r="A113" s="2" t="s">
        <v>129</v>
      </c>
      <c r="B113" s="34" t="s">
        <v>238</v>
      </c>
      <c r="C113" s="34"/>
      <c r="D113" s="8">
        <v>6060</v>
      </c>
      <c r="E113" s="17">
        <v>15.32</v>
      </c>
      <c r="F113" s="6">
        <v>165</v>
      </c>
      <c r="G113" s="2">
        <f>15.32/165</f>
        <v>9.2848484848484847E-2</v>
      </c>
      <c r="H113" s="12">
        <v>26</v>
      </c>
      <c r="I113" s="2">
        <f>165/26</f>
        <v>6.3461538461538458</v>
      </c>
      <c r="J113" s="2">
        <v>26</v>
      </c>
      <c r="K113" s="2">
        <v>1</v>
      </c>
      <c r="L113" s="45">
        <v>1</v>
      </c>
    </row>
    <row r="114" spans="1:12" ht="24.75" customHeight="1" x14ac:dyDescent="0.3">
      <c r="A114" s="2" t="s">
        <v>128</v>
      </c>
      <c r="B114" s="40" t="s">
        <v>279</v>
      </c>
      <c r="C114" s="40" t="s">
        <v>316</v>
      </c>
      <c r="D114" s="8">
        <v>2754</v>
      </c>
      <c r="E114" s="22">
        <v>20.79</v>
      </c>
      <c r="F114" s="6">
        <v>165</v>
      </c>
      <c r="G114" s="2">
        <f>20.79/165</f>
        <v>0.126</v>
      </c>
      <c r="H114" s="12">
        <v>23</v>
      </c>
      <c r="I114" s="2">
        <f>165/23</f>
        <v>7.1739130434782608</v>
      </c>
      <c r="J114" s="2">
        <v>23</v>
      </c>
      <c r="K114" s="2">
        <v>1</v>
      </c>
      <c r="L114" s="45">
        <v>1</v>
      </c>
    </row>
    <row r="115" spans="1:12" ht="24.75" customHeight="1" x14ac:dyDescent="0.3">
      <c r="A115" s="2" t="s">
        <v>130</v>
      </c>
      <c r="B115" s="40" t="s">
        <v>279</v>
      </c>
      <c r="C115" s="40" t="s">
        <v>313</v>
      </c>
      <c r="D115" s="8">
        <v>768</v>
      </c>
      <c r="E115" s="14">
        <v>12.29</v>
      </c>
      <c r="F115" s="6">
        <v>164</v>
      </c>
      <c r="G115" s="2">
        <f>12.29/164</f>
        <v>7.49390243902439E-2</v>
      </c>
      <c r="H115" s="12">
        <v>26</v>
      </c>
      <c r="I115" s="2">
        <f>164/26</f>
        <v>6.3076923076923075</v>
      </c>
      <c r="J115" s="2">
        <v>26</v>
      </c>
      <c r="K115" s="2">
        <v>1</v>
      </c>
      <c r="L115" s="45">
        <v>1</v>
      </c>
    </row>
    <row r="116" spans="1:12" ht="24.75" customHeight="1" x14ac:dyDescent="0.3">
      <c r="A116" s="2" t="s">
        <v>131</v>
      </c>
      <c r="B116" s="34" t="s">
        <v>269</v>
      </c>
      <c r="C116" s="34"/>
      <c r="D116" s="8">
        <v>5312</v>
      </c>
      <c r="E116" s="22">
        <v>21.45</v>
      </c>
      <c r="F116" s="6">
        <v>164</v>
      </c>
      <c r="G116" s="2">
        <f>21.45/164</f>
        <v>0.13079268292682927</v>
      </c>
      <c r="H116" s="12">
        <v>47</v>
      </c>
      <c r="I116" s="2">
        <f>164/47</f>
        <v>3.4893617021276597</v>
      </c>
      <c r="J116" s="2">
        <v>47</v>
      </c>
      <c r="K116" s="2">
        <v>1</v>
      </c>
      <c r="L116" s="45">
        <v>1</v>
      </c>
    </row>
    <row r="117" spans="1:12" ht="24.75" customHeight="1" x14ac:dyDescent="0.3">
      <c r="A117" s="2" t="s">
        <v>132</v>
      </c>
      <c r="B117" s="34" t="s">
        <v>272</v>
      </c>
      <c r="C117" s="34"/>
      <c r="D117" s="8">
        <v>17</v>
      </c>
      <c r="E117" s="22">
        <v>24.7</v>
      </c>
      <c r="F117" s="6">
        <v>163</v>
      </c>
      <c r="G117" s="2">
        <f>163/24.7</f>
        <v>6.5991902834008096</v>
      </c>
      <c r="H117" s="12">
        <v>38</v>
      </c>
      <c r="I117" s="2">
        <f>163/38</f>
        <v>4.2894736842105265</v>
      </c>
      <c r="J117" s="2">
        <v>12</v>
      </c>
      <c r="K117" s="2">
        <f>12/38</f>
        <v>0.31578947368421051</v>
      </c>
      <c r="L117" s="49">
        <v>0.32</v>
      </c>
    </row>
    <row r="118" spans="1:12" ht="24.75" customHeight="1" x14ac:dyDescent="0.3">
      <c r="A118" s="2" t="s">
        <v>15</v>
      </c>
      <c r="B118" s="34" t="s">
        <v>257</v>
      </c>
      <c r="C118" s="34"/>
      <c r="D118" s="8">
        <v>4040</v>
      </c>
      <c r="E118" s="17">
        <v>18.510000000000002</v>
      </c>
      <c r="F118" s="5">
        <v>162</v>
      </c>
      <c r="G118" s="2">
        <f>18.51/162</f>
        <v>0.11425925925925927</v>
      </c>
      <c r="H118" s="12">
        <v>24</v>
      </c>
      <c r="I118" s="2">
        <f>162/24</f>
        <v>6.75</v>
      </c>
      <c r="J118" s="2">
        <v>12</v>
      </c>
      <c r="K118" s="2">
        <f>12/24</f>
        <v>0.5</v>
      </c>
      <c r="L118" s="49">
        <v>0.5</v>
      </c>
    </row>
    <row r="119" spans="1:12" ht="24.75" customHeight="1" x14ac:dyDescent="0.3">
      <c r="A119" s="2" t="s">
        <v>133</v>
      </c>
      <c r="B119" s="34" t="s">
        <v>274</v>
      </c>
      <c r="C119" s="34"/>
      <c r="D119" s="8">
        <v>144</v>
      </c>
      <c r="E119" s="23">
        <v>27.03</v>
      </c>
      <c r="F119" s="6">
        <v>162</v>
      </c>
      <c r="G119" s="2">
        <f>27.03/162</f>
        <v>0.16685185185185186</v>
      </c>
      <c r="H119" s="12">
        <v>30</v>
      </c>
      <c r="I119" s="2">
        <f>162/30</f>
        <v>5.4</v>
      </c>
      <c r="J119" s="2">
        <v>10</v>
      </c>
      <c r="K119" s="2">
        <f>10/30</f>
        <v>0.33333333333333331</v>
      </c>
      <c r="L119" s="49">
        <v>0.33</v>
      </c>
    </row>
    <row r="120" spans="1:12" ht="24.75" customHeight="1" x14ac:dyDescent="0.3">
      <c r="A120" s="59" t="s">
        <v>134</v>
      </c>
      <c r="B120" s="40" t="s">
        <v>279</v>
      </c>
      <c r="C120" s="40" t="s">
        <v>313</v>
      </c>
      <c r="D120" s="31">
        <v>3871</v>
      </c>
      <c r="E120" s="14">
        <v>12.93</v>
      </c>
      <c r="F120" s="5">
        <v>161</v>
      </c>
      <c r="G120" s="2">
        <f>12.93/161</f>
        <v>8.0310559006211174E-2</v>
      </c>
      <c r="H120" s="12">
        <v>42</v>
      </c>
      <c r="I120" s="2">
        <f>161/42</f>
        <v>3.8333333333333335</v>
      </c>
      <c r="J120" s="2">
        <v>42</v>
      </c>
      <c r="K120" s="2">
        <v>1</v>
      </c>
      <c r="L120" s="45">
        <v>1</v>
      </c>
    </row>
    <row r="121" spans="1:12" ht="24.75" customHeight="1" x14ac:dyDescent="0.3">
      <c r="A121" s="33" t="s">
        <v>135</v>
      </c>
      <c r="B121" s="40" t="s">
        <v>240</v>
      </c>
      <c r="C121" s="40"/>
      <c r="D121" s="31">
        <v>256</v>
      </c>
      <c r="E121" s="22">
        <v>23.62</v>
      </c>
      <c r="F121" s="5">
        <v>160</v>
      </c>
      <c r="G121" s="2">
        <f>23.62/160</f>
        <v>0.14762500000000001</v>
      </c>
      <c r="H121" s="12">
        <v>17</v>
      </c>
      <c r="I121" s="2">
        <f>160/17</f>
        <v>9.4117647058823533</v>
      </c>
      <c r="J121" s="2">
        <v>14</v>
      </c>
      <c r="K121" s="2">
        <f>14/17</f>
        <v>0.82352941176470584</v>
      </c>
      <c r="L121" s="49">
        <v>0.82</v>
      </c>
    </row>
    <row r="122" spans="1:12" ht="24.75" customHeight="1" x14ac:dyDescent="0.3">
      <c r="A122" s="69" t="s">
        <v>136</v>
      </c>
      <c r="B122" s="40" t="s">
        <v>240</v>
      </c>
      <c r="C122" s="40"/>
      <c r="D122" s="31">
        <v>43</v>
      </c>
      <c r="E122" s="14">
        <v>10.050000000000001</v>
      </c>
      <c r="F122" s="5">
        <v>159</v>
      </c>
      <c r="G122" s="2">
        <f>10.05/159</f>
        <v>6.3207547169811321E-2</v>
      </c>
      <c r="H122" s="12">
        <v>23</v>
      </c>
      <c r="I122" s="2">
        <f>159/23</f>
        <v>6.9130434782608692</v>
      </c>
      <c r="J122" s="2">
        <v>21</v>
      </c>
      <c r="K122" s="2">
        <f>21/23</f>
        <v>0.91304347826086951</v>
      </c>
      <c r="L122" s="45">
        <v>0.92</v>
      </c>
    </row>
    <row r="123" spans="1:12" ht="24.75" customHeight="1" x14ac:dyDescent="0.3">
      <c r="A123" s="2" t="s">
        <v>137</v>
      </c>
      <c r="B123" s="34" t="s">
        <v>250</v>
      </c>
      <c r="C123" s="34"/>
      <c r="D123" s="31">
        <v>2046</v>
      </c>
      <c r="E123" s="17">
        <v>17.940000000000001</v>
      </c>
      <c r="F123" s="5">
        <v>157</v>
      </c>
      <c r="G123" s="2">
        <f>17.94/157</f>
        <v>0.11426751592356689</v>
      </c>
      <c r="H123" s="12">
        <v>22</v>
      </c>
      <c r="I123" s="2">
        <f>157/22</f>
        <v>7.1363636363636367</v>
      </c>
      <c r="J123" s="2">
        <v>13</v>
      </c>
      <c r="K123" s="2">
        <f>13/22</f>
        <v>0.59090909090909094</v>
      </c>
      <c r="L123" s="49">
        <v>0.59</v>
      </c>
    </row>
    <row r="124" spans="1:12" ht="24.75" customHeight="1" x14ac:dyDescent="0.3">
      <c r="A124" s="12" t="s">
        <v>138</v>
      </c>
      <c r="B124" s="36"/>
      <c r="C124" s="36"/>
      <c r="D124" s="31">
        <v>2039</v>
      </c>
      <c r="E124" s="17">
        <v>15.3</v>
      </c>
      <c r="F124" s="5">
        <v>156</v>
      </c>
      <c r="G124" s="2">
        <f>15.3/156</f>
        <v>9.8076923076923075E-2</v>
      </c>
      <c r="H124" s="12">
        <v>34</v>
      </c>
      <c r="I124" s="2">
        <f>156/34</f>
        <v>4.5882352941176467</v>
      </c>
      <c r="J124" s="2">
        <v>13</v>
      </c>
      <c r="K124" s="2">
        <f>13/34</f>
        <v>0.38235294117647056</v>
      </c>
      <c r="L124" s="49">
        <v>0.38</v>
      </c>
    </row>
    <row r="125" spans="1:12" ht="24.75" customHeight="1" x14ac:dyDescent="0.3">
      <c r="A125" s="2" t="s">
        <v>141</v>
      </c>
      <c r="B125" s="40" t="s">
        <v>279</v>
      </c>
      <c r="C125" s="40"/>
      <c r="D125" s="31">
        <v>3350</v>
      </c>
      <c r="E125" s="44">
        <v>7.99</v>
      </c>
      <c r="F125" s="5">
        <v>155</v>
      </c>
      <c r="G125" s="2">
        <f>7.99/155</f>
        <v>5.1548387096774194E-2</v>
      </c>
      <c r="H125" s="12">
        <v>28</v>
      </c>
      <c r="I125" s="2">
        <f>155/28</f>
        <v>5.5357142857142856</v>
      </c>
      <c r="J125" s="2">
        <v>28</v>
      </c>
      <c r="K125" s="2">
        <v>1</v>
      </c>
      <c r="L125" s="45">
        <v>1</v>
      </c>
    </row>
    <row r="126" spans="1:12" ht="24.75" customHeight="1" x14ac:dyDescent="0.3">
      <c r="A126" s="2" t="s">
        <v>139</v>
      </c>
      <c r="B126" s="34" t="s">
        <v>236</v>
      </c>
      <c r="C126" s="34" t="s">
        <v>317</v>
      </c>
      <c r="D126" s="31">
        <v>832</v>
      </c>
      <c r="E126" s="22">
        <v>22.15</v>
      </c>
      <c r="F126" s="5">
        <v>155</v>
      </c>
      <c r="G126" s="2">
        <f>22.15/155</f>
        <v>0.14290322580645159</v>
      </c>
      <c r="H126" s="12">
        <v>36</v>
      </c>
      <c r="I126" s="2">
        <f>155/36</f>
        <v>4.3055555555555554</v>
      </c>
      <c r="J126" s="2">
        <v>11</v>
      </c>
      <c r="K126" s="2">
        <f>11/36</f>
        <v>0.30555555555555558</v>
      </c>
      <c r="L126" s="49">
        <v>0.31</v>
      </c>
    </row>
    <row r="127" spans="1:12" ht="24.75" customHeight="1" x14ac:dyDescent="0.3">
      <c r="A127" s="2" t="s">
        <v>142</v>
      </c>
      <c r="B127" s="34" t="s">
        <v>273</v>
      </c>
      <c r="C127" s="34"/>
      <c r="D127" s="31">
        <v>6177</v>
      </c>
      <c r="E127" s="23">
        <v>25.64</v>
      </c>
      <c r="F127" s="5">
        <v>155</v>
      </c>
      <c r="G127" s="2">
        <f>25.64/155</f>
        <v>0.16541935483870968</v>
      </c>
      <c r="H127" s="12">
        <v>16</v>
      </c>
      <c r="I127" s="2">
        <f>155/16</f>
        <v>9.6875</v>
      </c>
      <c r="J127" s="2">
        <v>16</v>
      </c>
      <c r="K127" s="2">
        <v>1</v>
      </c>
      <c r="L127" s="45">
        <v>1</v>
      </c>
    </row>
    <row r="128" spans="1:12" ht="24.75" customHeight="1" x14ac:dyDescent="0.3">
      <c r="A128" s="2" t="s">
        <v>140</v>
      </c>
      <c r="B128" s="34" t="s">
        <v>227</v>
      </c>
      <c r="C128" s="34"/>
      <c r="D128" s="31">
        <v>905</v>
      </c>
      <c r="E128" s="23">
        <v>25.76</v>
      </c>
      <c r="F128" s="5">
        <v>155</v>
      </c>
      <c r="G128" s="2">
        <f>25.76/155</f>
        <v>0.1661935483870968</v>
      </c>
      <c r="H128" s="12">
        <v>23</v>
      </c>
      <c r="I128" s="2">
        <f>155/23</f>
        <v>6.7391304347826084</v>
      </c>
      <c r="J128" s="2">
        <v>15</v>
      </c>
      <c r="K128" s="2">
        <f>15/23</f>
        <v>0.65217391304347827</v>
      </c>
      <c r="L128" s="49">
        <v>0.65</v>
      </c>
    </row>
    <row r="129" spans="1:12" ht="24.75" customHeight="1" x14ac:dyDescent="0.3">
      <c r="A129" s="10" t="s">
        <v>16</v>
      </c>
      <c r="B129" s="34" t="s">
        <v>271</v>
      </c>
      <c r="C129" s="34"/>
      <c r="D129" s="8">
        <v>238</v>
      </c>
      <c r="E129" s="28">
        <v>36.950000000000003</v>
      </c>
      <c r="F129" s="5">
        <v>155</v>
      </c>
      <c r="G129" s="2">
        <f>36.95/155</f>
        <v>0.23838709677419356</v>
      </c>
      <c r="H129" s="12">
        <v>23</v>
      </c>
      <c r="I129" s="2">
        <f>155/23</f>
        <v>6.7391304347826084</v>
      </c>
      <c r="J129" s="2">
        <v>4</v>
      </c>
      <c r="K129" s="2">
        <f>4/23</f>
        <v>0.17391304347826086</v>
      </c>
      <c r="L129" s="49">
        <v>0.17</v>
      </c>
    </row>
    <row r="130" spans="1:12" ht="24.75" customHeight="1" x14ac:dyDescent="0.3">
      <c r="A130" s="2" t="s">
        <v>143</v>
      </c>
      <c r="B130" s="34" t="s">
        <v>247</v>
      </c>
      <c r="C130" s="34" t="s">
        <v>291</v>
      </c>
      <c r="D130" s="31">
        <v>3074</v>
      </c>
      <c r="E130" s="17">
        <v>17.73</v>
      </c>
      <c r="F130" s="5">
        <v>154</v>
      </c>
      <c r="G130" s="2">
        <f>17.73/154</f>
        <v>0.11512987012987014</v>
      </c>
      <c r="H130" s="12">
        <v>22</v>
      </c>
      <c r="I130" s="2">
        <f>154/22</f>
        <v>7</v>
      </c>
      <c r="J130" s="2">
        <v>22</v>
      </c>
      <c r="K130" s="2">
        <v>1</v>
      </c>
      <c r="L130" s="45">
        <v>1</v>
      </c>
    </row>
    <row r="131" spans="1:12" ht="24.75" customHeight="1" x14ac:dyDescent="0.3">
      <c r="A131" s="2" t="s">
        <v>144</v>
      </c>
      <c r="B131" s="34" t="s">
        <v>218</v>
      </c>
      <c r="C131" s="34" t="s">
        <v>315</v>
      </c>
      <c r="D131" s="31">
        <v>2190</v>
      </c>
      <c r="E131" s="48">
        <v>9.43</v>
      </c>
      <c r="F131" s="5">
        <v>153</v>
      </c>
      <c r="G131" s="2">
        <f>9.43/153</f>
        <v>6.1633986928104574E-2</v>
      </c>
      <c r="H131" s="12">
        <v>40</v>
      </c>
      <c r="I131" s="2">
        <f>153/40</f>
        <v>3.8250000000000002</v>
      </c>
      <c r="J131" s="2">
        <v>32</v>
      </c>
      <c r="K131" s="2">
        <f>32/40</f>
        <v>0.8</v>
      </c>
      <c r="L131" s="49">
        <v>0.8</v>
      </c>
    </row>
    <row r="132" spans="1:12" ht="24.75" customHeight="1" x14ac:dyDescent="0.3">
      <c r="A132" s="10" t="s">
        <v>95</v>
      </c>
      <c r="B132" s="34" t="s">
        <v>253</v>
      </c>
      <c r="C132" s="34"/>
      <c r="D132" s="8">
        <v>1225</v>
      </c>
      <c r="E132" s="19">
        <v>18.440000000000001</v>
      </c>
      <c r="F132" s="6">
        <v>152</v>
      </c>
      <c r="G132" s="2">
        <f>18.44/152</f>
        <v>0.12131578947368422</v>
      </c>
      <c r="H132" s="12">
        <v>28</v>
      </c>
      <c r="I132" s="2">
        <f>152/28</f>
        <v>5.4285714285714288</v>
      </c>
      <c r="J132" s="2">
        <v>15</v>
      </c>
      <c r="K132" s="2">
        <f>15/28</f>
        <v>0.5357142857142857</v>
      </c>
      <c r="L132" s="49">
        <v>0.54</v>
      </c>
    </row>
    <row r="133" spans="1:12" ht="24.75" customHeight="1" x14ac:dyDescent="0.3">
      <c r="A133" s="33" t="s">
        <v>145</v>
      </c>
      <c r="B133" s="40" t="s">
        <v>240</v>
      </c>
      <c r="C133" s="40"/>
      <c r="D133" s="31">
        <v>794</v>
      </c>
      <c r="E133" s="23">
        <v>29.59</v>
      </c>
      <c r="F133" s="5">
        <v>152</v>
      </c>
      <c r="G133" s="2">
        <f>29.59/152</f>
        <v>0.19467105263157894</v>
      </c>
      <c r="H133" s="12">
        <v>17</v>
      </c>
      <c r="I133" s="2">
        <f>152/17</f>
        <v>8.9411764705882355</v>
      </c>
      <c r="J133" s="2">
        <v>12</v>
      </c>
      <c r="K133" s="2">
        <f>12/17</f>
        <v>0.70588235294117652</v>
      </c>
      <c r="L133" s="49">
        <v>0.71</v>
      </c>
    </row>
    <row r="134" spans="1:12" ht="24.75" customHeight="1" x14ac:dyDescent="0.3">
      <c r="A134" s="2" t="s">
        <v>149</v>
      </c>
      <c r="B134" s="34" t="s">
        <v>234</v>
      </c>
      <c r="C134" s="34"/>
      <c r="D134" s="31">
        <v>2065</v>
      </c>
      <c r="E134" s="14">
        <v>14.19</v>
      </c>
      <c r="F134" s="5">
        <v>151</v>
      </c>
      <c r="G134" s="2">
        <f>14.19/151</f>
        <v>9.3973509933774832E-2</v>
      </c>
      <c r="H134" s="12">
        <v>44</v>
      </c>
      <c r="I134" s="2">
        <f>151/44</f>
        <v>3.4318181818181817</v>
      </c>
      <c r="J134" s="2">
        <v>14</v>
      </c>
      <c r="K134" s="2">
        <f>14/44</f>
        <v>0.31818181818181818</v>
      </c>
      <c r="L134" s="49">
        <v>0.32</v>
      </c>
    </row>
    <row r="135" spans="1:12" ht="24.75" customHeight="1" x14ac:dyDescent="0.3">
      <c r="A135" s="2" t="s">
        <v>150</v>
      </c>
      <c r="B135" s="34"/>
      <c r="C135" s="34"/>
      <c r="D135" s="31">
        <v>5330</v>
      </c>
      <c r="E135" s="17">
        <v>16.420000000000002</v>
      </c>
      <c r="F135" s="5">
        <v>151</v>
      </c>
      <c r="G135" s="2">
        <f>16.42/151</f>
        <v>0.10874172185430464</v>
      </c>
      <c r="H135" s="12">
        <v>17</v>
      </c>
      <c r="I135" s="2">
        <f>151/17</f>
        <v>8.882352941176471</v>
      </c>
      <c r="J135" s="2">
        <v>17</v>
      </c>
      <c r="K135" s="2">
        <v>1</v>
      </c>
      <c r="L135" s="45">
        <v>1</v>
      </c>
    </row>
    <row r="136" spans="1:12" ht="24.75" customHeight="1" x14ac:dyDescent="0.3">
      <c r="A136" s="2" t="s">
        <v>148</v>
      </c>
      <c r="B136" s="40" t="s">
        <v>280</v>
      </c>
      <c r="C136" s="40" t="s">
        <v>312</v>
      </c>
      <c r="D136" s="31">
        <v>1450</v>
      </c>
      <c r="E136" s="17">
        <v>17.920000000000002</v>
      </c>
      <c r="F136" s="5">
        <v>151</v>
      </c>
      <c r="G136" s="2">
        <f>17.92/151</f>
        <v>0.11867549668874174</v>
      </c>
      <c r="H136" s="12">
        <v>24</v>
      </c>
      <c r="I136" s="2">
        <f>151/24</f>
        <v>6.291666666666667</v>
      </c>
      <c r="J136" s="2">
        <v>21</v>
      </c>
      <c r="K136" s="2">
        <f>21/24</f>
        <v>0.875</v>
      </c>
      <c r="L136" s="45">
        <v>0.88</v>
      </c>
    </row>
    <row r="137" spans="1:12" ht="24.75" customHeight="1" x14ac:dyDescent="0.3">
      <c r="A137" s="4" t="s">
        <v>147</v>
      </c>
      <c r="B137" s="39" t="s">
        <v>220</v>
      </c>
      <c r="C137" s="39"/>
      <c r="D137" s="31">
        <v>746</v>
      </c>
      <c r="E137" s="23">
        <v>28.9</v>
      </c>
      <c r="F137" s="5">
        <v>151</v>
      </c>
      <c r="G137" s="2">
        <f>28.9/151</f>
        <v>0.19139072847682118</v>
      </c>
      <c r="H137" s="12">
        <v>33</v>
      </c>
      <c r="I137" s="2">
        <f>151/33</f>
        <v>4.5757575757575761</v>
      </c>
      <c r="J137" s="2">
        <v>3</v>
      </c>
      <c r="K137" s="2">
        <f>3/33</f>
        <v>9.0909090909090912E-2</v>
      </c>
      <c r="L137" s="50">
        <v>0.09</v>
      </c>
    </row>
    <row r="138" spans="1:12" ht="24.75" customHeight="1" x14ac:dyDescent="0.3">
      <c r="A138" s="10" t="s">
        <v>146</v>
      </c>
      <c r="B138" s="34" t="s">
        <v>224</v>
      </c>
      <c r="C138" s="34"/>
      <c r="D138" s="31">
        <v>204</v>
      </c>
      <c r="E138" s="27">
        <v>30.71</v>
      </c>
      <c r="F138" s="5">
        <v>151</v>
      </c>
      <c r="G138" s="2">
        <f>30.71/151</f>
        <v>0.20337748344370862</v>
      </c>
      <c r="H138" s="12">
        <v>37</v>
      </c>
      <c r="I138" s="2">
        <f>151/37</f>
        <v>4.0810810810810807</v>
      </c>
      <c r="J138" s="2">
        <v>6</v>
      </c>
      <c r="K138" s="2">
        <f>6/37</f>
        <v>0.16216216216216217</v>
      </c>
      <c r="L138" s="49">
        <v>0.16</v>
      </c>
    </row>
    <row r="139" spans="1:12" ht="24.75" customHeight="1" x14ac:dyDescent="0.3">
      <c r="A139" s="2" t="s">
        <v>152</v>
      </c>
      <c r="B139" s="34" t="s">
        <v>222</v>
      </c>
      <c r="C139" s="34"/>
      <c r="D139" s="31">
        <v>1233</v>
      </c>
      <c r="E139" s="14">
        <v>12.33</v>
      </c>
      <c r="F139" s="5">
        <v>150</v>
      </c>
      <c r="G139" s="2">
        <f>12.33/150</f>
        <v>8.2199999999999995E-2</v>
      </c>
      <c r="H139" s="12">
        <v>24</v>
      </c>
      <c r="I139" s="2">
        <f>150/24</f>
        <v>6.25</v>
      </c>
      <c r="J139" s="2">
        <v>18</v>
      </c>
      <c r="K139" s="2">
        <f>18/24</f>
        <v>0.75</v>
      </c>
      <c r="L139" s="49">
        <v>0.75</v>
      </c>
    </row>
    <row r="140" spans="1:12" ht="24.75" customHeight="1" x14ac:dyDescent="0.3">
      <c r="A140" s="2" t="s">
        <v>151</v>
      </c>
      <c r="B140" s="40" t="s">
        <v>279</v>
      </c>
      <c r="C140" s="40" t="s">
        <v>283</v>
      </c>
      <c r="D140" s="31">
        <v>52</v>
      </c>
      <c r="E140" s="22">
        <v>20.47</v>
      </c>
      <c r="F140" s="5">
        <v>150</v>
      </c>
      <c r="G140" s="2">
        <f>20.47/150</f>
        <v>0.13646666666666665</v>
      </c>
      <c r="H140" s="12">
        <v>54</v>
      </c>
      <c r="I140" s="2">
        <f>150/54</f>
        <v>2.7777777777777777</v>
      </c>
      <c r="J140" s="2">
        <v>10</v>
      </c>
      <c r="K140" s="2">
        <f>10/54</f>
        <v>0.18518518518518517</v>
      </c>
      <c r="L140" s="49">
        <v>0.19</v>
      </c>
    </row>
    <row r="141" spans="1:12" ht="24.75" customHeight="1" x14ac:dyDescent="0.3">
      <c r="A141" s="2" t="s">
        <v>154</v>
      </c>
      <c r="B141" s="34" t="s">
        <v>254</v>
      </c>
      <c r="C141" s="34"/>
      <c r="D141" s="31">
        <v>1802</v>
      </c>
      <c r="E141" s="17">
        <v>18.47</v>
      </c>
      <c r="F141" s="5">
        <v>149</v>
      </c>
      <c r="G141" s="2">
        <f>18.47/149</f>
        <v>0.12395973154362415</v>
      </c>
      <c r="H141" s="12">
        <v>20</v>
      </c>
      <c r="I141" s="2">
        <f>149/20</f>
        <v>7.45</v>
      </c>
      <c r="J141" s="2">
        <v>20</v>
      </c>
      <c r="K141" s="2">
        <v>1</v>
      </c>
      <c r="L141" s="45">
        <v>1</v>
      </c>
    </row>
    <row r="142" spans="1:12" ht="24.75" customHeight="1" x14ac:dyDescent="0.3">
      <c r="A142" s="2" t="s">
        <v>153</v>
      </c>
      <c r="B142" s="34" t="s">
        <v>265</v>
      </c>
      <c r="C142" s="34"/>
      <c r="D142" s="31">
        <v>1022</v>
      </c>
      <c r="E142" s="22">
        <v>20.97</v>
      </c>
      <c r="F142" s="5">
        <v>149</v>
      </c>
      <c r="G142" s="2">
        <f>20.97/149</f>
        <v>0.14073825503355705</v>
      </c>
      <c r="H142" s="12">
        <v>31</v>
      </c>
      <c r="I142" s="2">
        <f>149/31</f>
        <v>4.806451612903226</v>
      </c>
      <c r="J142" s="2">
        <v>31</v>
      </c>
      <c r="K142" s="2">
        <v>1</v>
      </c>
      <c r="L142" s="45">
        <v>1</v>
      </c>
    </row>
    <row r="143" spans="1:12" ht="24.75" customHeight="1" x14ac:dyDescent="0.3">
      <c r="A143" s="2" t="s">
        <v>157</v>
      </c>
      <c r="B143" s="36"/>
      <c r="C143" s="36"/>
      <c r="D143" s="31">
        <v>5071</v>
      </c>
      <c r="E143" s="14">
        <v>12.23</v>
      </c>
      <c r="F143" s="5">
        <v>148</v>
      </c>
      <c r="G143" s="2">
        <f>12.23/148</f>
        <v>8.2635135135135138E-2</v>
      </c>
      <c r="H143" s="12">
        <v>19</v>
      </c>
      <c r="I143" s="2">
        <f>148/19</f>
        <v>7.7894736842105265</v>
      </c>
      <c r="J143" s="2">
        <v>19</v>
      </c>
      <c r="K143" s="2">
        <v>1</v>
      </c>
      <c r="L143" s="45">
        <v>1</v>
      </c>
    </row>
    <row r="144" spans="1:12" ht="24.75" customHeight="1" x14ac:dyDescent="0.3">
      <c r="A144" s="2" t="s">
        <v>155</v>
      </c>
      <c r="B144" s="40" t="s">
        <v>280</v>
      </c>
      <c r="C144" s="40"/>
      <c r="D144" s="31">
        <v>167</v>
      </c>
      <c r="E144" s="23">
        <v>25.57</v>
      </c>
      <c r="F144" s="5">
        <v>148</v>
      </c>
      <c r="G144" s="2">
        <f>25.57/148</f>
        <v>0.17277027027027028</v>
      </c>
      <c r="H144" s="12">
        <v>39</v>
      </c>
      <c r="I144" s="2">
        <f>148/39</f>
        <v>3.7948717948717947</v>
      </c>
      <c r="J144" s="2">
        <v>12</v>
      </c>
      <c r="K144" s="2">
        <f>12/39</f>
        <v>0.30769230769230771</v>
      </c>
      <c r="L144" s="49">
        <v>0.31</v>
      </c>
    </row>
    <row r="145" spans="1:12" ht="24.75" customHeight="1" x14ac:dyDescent="0.3">
      <c r="A145" s="2" t="s">
        <v>156</v>
      </c>
      <c r="B145" s="36"/>
      <c r="C145" s="36"/>
      <c r="D145" s="31">
        <v>485</v>
      </c>
      <c r="E145" s="23">
        <v>26.69</v>
      </c>
      <c r="F145" s="5">
        <v>148</v>
      </c>
      <c r="G145" s="2">
        <f>26.69/148</f>
        <v>0.18033783783783786</v>
      </c>
      <c r="H145" s="12">
        <v>23</v>
      </c>
      <c r="I145" s="2">
        <f>148/23</f>
        <v>6.4347826086956523</v>
      </c>
      <c r="J145" s="2">
        <v>15</v>
      </c>
      <c r="K145" s="2">
        <f>15/23</f>
        <v>0.65217391304347827</v>
      </c>
      <c r="L145" s="49">
        <v>0.65</v>
      </c>
    </row>
    <row r="146" spans="1:12" ht="24.75" customHeight="1" x14ac:dyDescent="0.3">
      <c r="A146" s="2" t="s">
        <v>161</v>
      </c>
      <c r="B146" s="34" t="s">
        <v>266</v>
      </c>
      <c r="C146" s="34"/>
      <c r="D146" s="31">
        <v>2081</v>
      </c>
      <c r="E146" s="14">
        <v>14</v>
      </c>
      <c r="F146" s="5">
        <v>147</v>
      </c>
      <c r="G146" s="3">
        <f>14/147</f>
        <v>9.5238095238095233E-2</v>
      </c>
      <c r="H146" s="12">
        <v>40</v>
      </c>
      <c r="I146" s="2">
        <f>147/40</f>
        <v>3.6749999999999998</v>
      </c>
      <c r="J146" s="2">
        <v>17</v>
      </c>
      <c r="K146" s="2">
        <f>17/40</f>
        <v>0.42499999999999999</v>
      </c>
      <c r="L146" s="49">
        <v>0.43</v>
      </c>
    </row>
    <row r="147" spans="1:12" ht="24.75" customHeight="1" x14ac:dyDescent="0.3">
      <c r="A147" s="2" t="s">
        <v>160</v>
      </c>
      <c r="B147" s="34" t="s">
        <v>226</v>
      </c>
      <c r="C147" s="34"/>
      <c r="D147" s="31">
        <v>1318</v>
      </c>
      <c r="E147" s="17">
        <v>18.940000000000001</v>
      </c>
      <c r="F147" s="5">
        <v>147</v>
      </c>
      <c r="G147" s="3">
        <f>18.94/147</f>
        <v>0.12884353741496599</v>
      </c>
      <c r="H147" s="12">
        <v>33</v>
      </c>
      <c r="I147" s="2">
        <f>147/33</f>
        <v>4.4545454545454541</v>
      </c>
      <c r="J147" s="2">
        <v>12</v>
      </c>
      <c r="K147" s="2">
        <f>12/33</f>
        <v>0.36363636363636365</v>
      </c>
      <c r="L147" s="49">
        <v>0.36</v>
      </c>
    </row>
    <row r="148" spans="1:12" ht="24.75" customHeight="1" x14ac:dyDescent="0.3">
      <c r="A148" s="2" t="s">
        <v>162</v>
      </c>
      <c r="B148" s="34"/>
      <c r="C148" s="34"/>
      <c r="D148" s="31">
        <v>7961</v>
      </c>
      <c r="E148" s="22">
        <v>23.67</v>
      </c>
      <c r="F148" s="5">
        <v>147</v>
      </c>
      <c r="G148" s="2">
        <f>23.67/147</f>
        <v>0.16102040816326532</v>
      </c>
      <c r="H148" s="12">
        <v>29</v>
      </c>
      <c r="I148" s="2">
        <f>147/29</f>
        <v>5.068965517241379</v>
      </c>
      <c r="J148" s="2">
        <v>29</v>
      </c>
      <c r="K148" s="2">
        <v>1</v>
      </c>
      <c r="L148" s="45">
        <v>1</v>
      </c>
    </row>
    <row r="149" spans="1:12" ht="24.75" customHeight="1" x14ac:dyDescent="0.3">
      <c r="A149" s="12" t="s">
        <v>158</v>
      </c>
      <c r="B149" s="36"/>
      <c r="C149" s="36"/>
      <c r="D149" s="31">
        <v>85</v>
      </c>
      <c r="E149" s="23">
        <v>29.91</v>
      </c>
      <c r="F149" s="5">
        <v>147</v>
      </c>
      <c r="G149" s="2">
        <f>29.91/147</f>
        <v>0.20346938775510204</v>
      </c>
      <c r="H149" s="12">
        <v>30</v>
      </c>
      <c r="I149" s="2">
        <f>147/30</f>
        <v>4.9000000000000004</v>
      </c>
      <c r="J149" s="2">
        <v>9</v>
      </c>
      <c r="K149" s="2">
        <f>9/30</f>
        <v>0.3</v>
      </c>
      <c r="L149" s="49">
        <v>0.3</v>
      </c>
    </row>
    <row r="150" spans="1:12" ht="24.75" customHeight="1" x14ac:dyDescent="0.3">
      <c r="A150" s="10" t="s">
        <v>159</v>
      </c>
      <c r="B150" s="34" t="s">
        <v>224</v>
      </c>
      <c r="C150" s="34"/>
      <c r="D150" s="31">
        <v>124</v>
      </c>
      <c r="E150" s="27">
        <v>32.78</v>
      </c>
      <c r="F150" s="5">
        <v>147</v>
      </c>
      <c r="G150" s="2">
        <f>32.78/147</f>
        <v>0.22299319727891156</v>
      </c>
      <c r="H150" s="12">
        <v>24</v>
      </c>
      <c r="I150" s="2">
        <f>147/24</f>
        <v>6.125</v>
      </c>
      <c r="J150" s="2">
        <v>7</v>
      </c>
      <c r="K150" s="2">
        <f>7/24</f>
        <v>0.29166666666666669</v>
      </c>
      <c r="L150" s="49">
        <v>0.28999999999999998</v>
      </c>
    </row>
    <row r="151" spans="1:12" ht="24.75" customHeight="1" x14ac:dyDescent="0.3">
      <c r="A151" s="2" t="s">
        <v>164</v>
      </c>
      <c r="B151" s="34" t="s">
        <v>259</v>
      </c>
      <c r="C151" s="34"/>
      <c r="D151" s="31">
        <v>900</v>
      </c>
      <c r="E151" s="17">
        <v>19.32</v>
      </c>
      <c r="F151" s="5">
        <v>146</v>
      </c>
      <c r="G151" s="2">
        <f>19.32/146</f>
        <v>0.13232876712328767</v>
      </c>
      <c r="H151" s="12">
        <v>21</v>
      </c>
      <c r="I151" s="2">
        <f>146/21</f>
        <v>6.9523809523809526</v>
      </c>
      <c r="J151" s="2">
        <v>8</v>
      </c>
      <c r="K151" s="2">
        <f>8/21</f>
        <v>0.38095238095238093</v>
      </c>
      <c r="L151" s="49">
        <v>0.38</v>
      </c>
    </row>
    <row r="152" spans="1:12" ht="24.75" customHeight="1" x14ac:dyDescent="0.3">
      <c r="A152" s="2" t="s">
        <v>165</v>
      </c>
      <c r="B152" s="34" t="s">
        <v>252</v>
      </c>
      <c r="C152" s="34"/>
      <c r="D152" s="31">
        <v>6190</v>
      </c>
      <c r="E152" s="22">
        <v>20.260000000000002</v>
      </c>
      <c r="F152" s="5">
        <v>146</v>
      </c>
      <c r="G152" s="2">
        <f>20.16/146</f>
        <v>0.13808219178082193</v>
      </c>
      <c r="H152" s="12">
        <v>60</v>
      </c>
      <c r="I152" s="2">
        <f>146/60</f>
        <v>2.4333333333333331</v>
      </c>
      <c r="J152" s="32">
        <v>60</v>
      </c>
      <c r="K152" s="2">
        <v>1</v>
      </c>
      <c r="L152" s="45">
        <v>1</v>
      </c>
    </row>
    <row r="153" spans="1:12" ht="24.75" customHeight="1" x14ac:dyDescent="0.3">
      <c r="A153" s="33" t="s">
        <v>163</v>
      </c>
      <c r="B153" s="40" t="s">
        <v>240</v>
      </c>
      <c r="C153" s="40"/>
      <c r="D153" s="31">
        <v>106</v>
      </c>
      <c r="E153" s="27">
        <v>33.53</v>
      </c>
      <c r="F153" s="5">
        <v>146</v>
      </c>
      <c r="G153" s="2">
        <f>33.53/146</f>
        <v>0.22965753424657534</v>
      </c>
      <c r="H153" s="12">
        <v>25</v>
      </c>
      <c r="I153" s="2">
        <f>146/25</f>
        <v>5.84</v>
      </c>
      <c r="J153" s="2">
        <v>13</v>
      </c>
      <c r="K153" s="2">
        <f>13/25</f>
        <v>0.52</v>
      </c>
      <c r="L153" s="49">
        <v>0.52</v>
      </c>
    </row>
    <row r="154" spans="1:12" ht="24.75" customHeight="1" x14ac:dyDescent="0.3">
      <c r="A154" s="10" t="s">
        <v>167</v>
      </c>
      <c r="B154" s="34" t="s">
        <v>233</v>
      </c>
      <c r="C154" s="34"/>
      <c r="D154" s="31">
        <v>1971</v>
      </c>
      <c r="E154" s="14">
        <v>13.95</v>
      </c>
      <c r="F154" s="5">
        <v>145</v>
      </c>
      <c r="G154" s="2">
        <f>13.95/145</f>
        <v>9.6206896551724139E-2</v>
      </c>
      <c r="H154" s="12">
        <v>43</v>
      </c>
      <c r="I154" s="2">
        <f>145/43</f>
        <v>3.3720930232558142</v>
      </c>
      <c r="J154" s="2">
        <v>13</v>
      </c>
      <c r="K154" s="2">
        <f>13/43</f>
        <v>0.30232558139534882</v>
      </c>
      <c r="L154" s="49">
        <v>0.3</v>
      </c>
    </row>
    <row r="155" spans="1:12" ht="24.75" customHeight="1" x14ac:dyDescent="0.3">
      <c r="A155" s="10" t="s">
        <v>168</v>
      </c>
      <c r="B155" s="34" t="s">
        <v>232</v>
      </c>
      <c r="C155" s="34"/>
      <c r="D155" s="31">
        <v>3505</v>
      </c>
      <c r="E155" s="17">
        <v>18.84</v>
      </c>
      <c r="F155" s="5">
        <v>145</v>
      </c>
      <c r="G155" s="2">
        <f>18.84/145</f>
        <v>0.12993103448275861</v>
      </c>
      <c r="H155" s="12">
        <v>27</v>
      </c>
      <c r="I155" s="2">
        <f>145/27</f>
        <v>5.3703703703703702</v>
      </c>
      <c r="J155" s="2">
        <v>25</v>
      </c>
      <c r="K155" s="2">
        <f>25/27</f>
        <v>0.92592592592592593</v>
      </c>
      <c r="L155" s="45">
        <v>0.93</v>
      </c>
    </row>
    <row r="156" spans="1:12" ht="24.75" customHeight="1" x14ac:dyDescent="0.3">
      <c r="A156" s="10" t="s">
        <v>166</v>
      </c>
      <c r="B156" s="34" t="s">
        <v>267</v>
      </c>
      <c r="C156" s="34"/>
      <c r="D156" s="31">
        <v>453</v>
      </c>
      <c r="E156" s="22">
        <v>22.65</v>
      </c>
      <c r="F156" s="5">
        <v>145</v>
      </c>
      <c r="G156" s="2">
        <f>22.65/142</f>
        <v>0.15950704225352111</v>
      </c>
      <c r="H156" s="12">
        <v>19</v>
      </c>
      <c r="I156" s="2">
        <f>145/19</f>
        <v>7.6315789473684212</v>
      </c>
      <c r="J156" s="2">
        <v>7</v>
      </c>
      <c r="K156" s="2">
        <f>7/19</f>
        <v>0.36842105263157893</v>
      </c>
      <c r="L156" s="49">
        <v>0.37</v>
      </c>
    </row>
    <row r="157" spans="1:12" ht="24.75" customHeight="1" x14ac:dyDescent="0.3">
      <c r="A157" s="2" t="s">
        <v>169</v>
      </c>
      <c r="B157" s="34" t="s">
        <v>255</v>
      </c>
      <c r="C157" s="34"/>
      <c r="D157" s="31">
        <v>2068</v>
      </c>
      <c r="E157" s="17">
        <v>19.54</v>
      </c>
      <c r="F157" s="5">
        <v>144</v>
      </c>
      <c r="G157" s="2">
        <f>19.54/144</f>
        <v>0.13569444444444445</v>
      </c>
      <c r="H157" s="12">
        <v>48</v>
      </c>
      <c r="I157" s="2">
        <f>144/48</f>
        <v>3</v>
      </c>
      <c r="J157" s="2">
        <v>5</v>
      </c>
      <c r="K157" s="2">
        <f>5/48</f>
        <v>0.10416666666666667</v>
      </c>
      <c r="L157" s="50">
        <v>0.1</v>
      </c>
    </row>
    <row r="158" spans="1:12" ht="24.75" customHeight="1" x14ac:dyDescent="0.3">
      <c r="A158" s="12" t="s">
        <v>170</v>
      </c>
      <c r="B158" s="36"/>
      <c r="C158" s="36"/>
      <c r="D158" s="31">
        <v>456</v>
      </c>
      <c r="E158" s="14">
        <v>11.9</v>
      </c>
      <c r="F158" s="5">
        <v>143</v>
      </c>
      <c r="G158" s="2">
        <f>11.9/143</f>
        <v>8.3216783216783219E-2</v>
      </c>
      <c r="H158" s="12">
        <v>18</v>
      </c>
      <c r="I158" s="2">
        <f>143/18</f>
        <v>7.9444444444444446</v>
      </c>
      <c r="J158" s="2">
        <v>12</v>
      </c>
      <c r="K158" s="2">
        <f>12/18</f>
        <v>0.66666666666666663</v>
      </c>
      <c r="L158" s="49">
        <v>0.67</v>
      </c>
    </row>
    <row r="159" spans="1:12" ht="24.75" customHeight="1" x14ac:dyDescent="0.3">
      <c r="A159" s="2" t="s">
        <v>171</v>
      </c>
      <c r="B159" s="36"/>
      <c r="C159" s="36" t="s">
        <v>313</v>
      </c>
      <c r="D159" s="31">
        <v>5785</v>
      </c>
      <c r="E159" s="17">
        <v>18.97</v>
      </c>
      <c r="F159" s="5">
        <v>143</v>
      </c>
      <c r="G159" s="2">
        <f>18.97/143</f>
        <v>0.13265734265734264</v>
      </c>
      <c r="H159" s="12">
        <v>17</v>
      </c>
      <c r="I159" s="2">
        <f>143/17</f>
        <v>8.4117647058823533</v>
      </c>
      <c r="J159" s="2">
        <v>17</v>
      </c>
      <c r="K159" s="2">
        <v>1</v>
      </c>
      <c r="L159" s="45">
        <v>1</v>
      </c>
    </row>
    <row r="160" spans="1:12" ht="24.75" customHeight="1" x14ac:dyDescent="0.3">
      <c r="A160" s="10" t="s">
        <v>174</v>
      </c>
      <c r="B160" s="34" t="s">
        <v>267</v>
      </c>
      <c r="C160" s="34"/>
      <c r="D160" s="31">
        <v>451</v>
      </c>
      <c r="E160" s="22">
        <v>21.23</v>
      </c>
      <c r="F160" s="5">
        <v>142</v>
      </c>
      <c r="G160" s="2">
        <f>21.23/142</f>
        <v>0.14950704225352113</v>
      </c>
      <c r="H160" s="12">
        <v>25</v>
      </c>
      <c r="I160" s="2">
        <f>142/25</f>
        <v>5.68</v>
      </c>
      <c r="J160" s="2">
        <v>9</v>
      </c>
      <c r="K160" s="2">
        <f>9/25</f>
        <v>0.36</v>
      </c>
      <c r="L160" s="49">
        <v>0.36</v>
      </c>
    </row>
    <row r="161" spans="1:12" ht="24.75" customHeight="1" x14ac:dyDescent="0.3">
      <c r="A161" s="2" t="s">
        <v>172</v>
      </c>
      <c r="B161" s="34"/>
      <c r="C161" s="35"/>
      <c r="D161" s="31">
        <v>348</v>
      </c>
      <c r="E161" s="22">
        <v>21.64</v>
      </c>
      <c r="F161" s="5">
        <v>142</v>
      </c>
      <c r="G161" s="2">
        <f>21.64/142</f>
        <v>0.15239436619718311</v>
      </c>
      <c r="H161" s="12">
        <v>21</v>
      </c>
      <c r="I161" s="2">
        <f>142/21</f>
        <v>6.7619047619047619</v>
      </c>
      <c r="J161" s="2">
        <v>11</v>
      </c>
      <c r="K161" s="2">
        <f>11/21</f>
        <v>0.52380952380952384</v>
      </c>
      <c r="L161" s="49">
        <v>0.52</v>
      </c>
    </row>
    <row r="162" spans="1:12" ht="24.75" customHeight="1" x14ac:dyDescent="0.3">
      <c r="A162" s="2" t="s">
        <v>173</v>
      </c>
      <c r="B162" s="36"/>
      <c r="C162" s="36" t="s">
        <v>313</v>
      </c>
      <c r="D162" s="31">
        <v>415</v>
      </c>
      <c r="E162" s="23">
        <v>25.15</v>
      </c>
      <c r="F162" s="5">
        <v>142</v>
      </c>
      <c r="G162" s="2">
        <f>25.15/142</f>
        <v>0.17711267605633801</v>
      </c>
      <c r="H162" s="12">
        <v>10</v>
      </c>
      <c r="I162" s="2">
        <f>142/10</f>
        <v>14.2</v>
      </c>
      <c r="J162" s="2">
        <v>10</v>
      </c>
      <c r="K162" s="2">
        <v>1</v>
      </c>
      <c r="L162" s="45">
        <v>1</v>
      </c>
    </row>
    <row r="163" spans="1:12" ht="24.75" customHeight="1" x14ac:dyDescent="0.3">
      <c r="A163" s="2" t="s">
        <v>177</v>
      </c>
      <c r="B163" s="34" t="s">
        <v>310</v>
      </c>
      <c r="C163" s="35"/>
      <c r="D163" s="31">
        <v>4625</v>
      </c>
      <c r="E163" s="17">
        <v>15.25</v>
      </c>
      <c r="F163" s="5">
        <v>141</v>
      </c>
      <c r="G163" s="2">
        <f>15.25/141</f>
        <v>0.10815602836879433</v>
      </c>
      <c r="H163" s="12">
        <v>16</v>
      </c>
      <c r="I163" s="2">
        <f>141/16</f>
        <v>8.8125</v>
      </c>
      <c r="J163" s="2">
        <v>15</v>
      </c>
      <c r="K163" s="2">
        <f>15/16</f>
        <v>0.9375</v>
      </c>
      <c r="L163" s="45">
        <v>0.94</v>
      </c>
    </row>
    <row r="164" spans="1:12" ht="24.75" customHeight="1" x14ac:dyDescent="0.3">
      <c r="A164" s="2" t="s">
        <v>176</v>
      </c>
      <c r="B164" s="36" t="s">
        <v>226</v>
      </c>
      <c r="C164" s="36"/>
      <c r="D164" s="31">
        <v>2493</v>
      </c>
      <c r="E164" s="17">
        <v>16.82</v>
      </c>
      <c r="F164" s="5">
        <v>141</v>
      </c>
      <c r="G164" s="2">
        <f>16.82/141</f>
        <v>0.11929078014184398</v>
      </c>
      <c r="H164" s="12">
        <v>19</v>
      </c>
      <c r="I164" s="2">
        <f>141/19</f>
        <v>7.4210526315789478</v>
      </c>
      <c r="J164" s="2">
        <v>17</v>
      </c>
      <c r="K164" s="2">
        <f>17/19</f>
        <v>0.89473684210526316</v>
      </c>
      <c r="L164" s="45">
        <v>0.89</v>
      </c>
    </row>
    <row r="165" spans="1:12" ht="24.75" customHeight="1" x14ac:dyDescent="0.3">
      <c r="A165" s="2" t="s">
        <v>175</v>
      </c>
      <c r="B165" s="34" t="s">
        <v>246</v>
      </c>
      <c r="C165" s="34"/>
      <c r="D165" s="31">
        <v>2223</v>
      </c>
      <c r="E165" s="17">
        <v>18.97</v>
      </c>
      <c r="F165" s="5">
        <v>141</v>
      </c>
      <c r="G165" s="2">
        <f>18.97/141</f>
        <v>0.13453900709219857</v>
      </c>
      <c r="H165" s="12">
        <v>34</v>
      </c>
      <c r="I165" s="2">
        <f>141/34</f>
        <v>4.1470588235294121</v>
      </c>
      <c r="J165" s="2">
        <v>11</v>
      </c>
      <c r="K165" s="2">
        <f>11/34</f>
        <v>0.3235294117647059</v>
      </c>
      <c r="L165" s="49">
        <v>0.32</v>
      </c>
    </row>
    <row r="166" spans="1:12" ht="24.75" customHeight="1" x14ac:dyDescent="0.3">
      <c r="A166" s="10" t="s">
        <v>180</v>
      </c>
      <c r="B166" s="34" t="s">
        <v>224</v>
      </c>
      <c r="C166" s="34"/>
      <c r="D166" s="31">
        <v>4427</v>
      </c>
      <c r="E166" s="14">
        <v>10.29</v>
      </c>
      <c r="F166" s="5">
        <v>140</v>
      </c>
      <c r="G166" s="2">
        <f>10.29/140</f>
        <v>7.3499999999999996E-2</v>
      </c>
      <c r="H166" s="12">
        <v>28</v>
      </c>
      <c r="I166" s="2">
        <f>140/28</f>
        <v>5</v>
      </c>
      <c r="J166" s="2">
        <v>26</v>
      </c>
      <c r="K166" s="2">
        <f>26/28</f>
        <v>0.9285714285714286</v>
      </c>
      <c r="L166" s="45">
        <v>0.93</v>
      </c>
    </row>
    <row r="167" spans="1:12" ht="24.75" customHeight="1" x14ac:dyDescent="0.3">
      <c r="A167" s="2" t="s">
        <v>182</v>
      </c>
      <c r="B167" s="34"/>
      <c r="C167" s="35"/>
      <c r="D167" s="31">
        <v>5226</v>
      </c>
      <c r="E167" s="14">
        <v>12.75</v>
      </c>
      <c r="F167" s="5">
        <v>140</v>
      </c>
      <c r="G167" s="2">
        <f>12.75/140</f>
        <v>9.1071428571428567E-2</v>
      </c>
      <c r="H167" s="12">
        <v>14</v>
      </c>
      <c r="I167" s="2">
        <f>140/14</f>
        <v>10</v>
      </c>
      <c r="J167" s="2">
        <v>14</v>
      </c>
      <c r="K167" s="2">
        <v>1</v>
      </c>
      <c r="L167" s="45">
        <v>1</v>
      </c>
    </row>
    <row r="168" spans="1:12" ht="24.75" customHeight="1" x14ac:dyDescent="0.3">
      <c r="A168" s="2" t="s">
        <v>183</v>
      </c>
      <c r="B168" s="34"/>
      <c r="C168" s="35"/>
      <c r="D168" s="31">
        <v>5342</v>
      </c>
      <c r="E168" s="17">
        <v>19.16</v>
      </c>
      <c r="F168" s="5">
        <v>140</v>
      </c>
      <c r="G168" s="2">
        <f>19.16/140</f>
        <v>0.13685714285714287</v>
      </c>
      <c r="H168" s="12">
        <v>45</v>
      </c>
      <c r="I168" s="2">
        <f>140/45</f>
        <v>3.1111111111111112</v>
      </c>
      <c r="J168" s="2">
        <v>45</v>
      </c>
      <c r="K168" s="2">
        <v>1</v>
      </c>
      <c r="L168" s="45">
        <v>1</v>
      </c>
    </row>
    <row r="169" spans="1:12" ht="24.75" customHeight="1" x14ac:dyDescent="0.3">
      <c r="A169" s="2" t="s">
        <v>179</v>
      </c>
      <c r="B169" s="36"/>
      <c r="C169" s="36"/>
      <c r="D169" s="31">
        <v>2790</v>
      </c>
      <c r="E169" s="22">
        <v>20.82</v>
      </c>
      <c r="F169" s="5">
        <v>140</v>
      </c>
      <c r="G169" s="2">
        <f>20.92/140</f>
        <v>0.14942857142857144</v>
      </c>
      <c r="H169" s="12">
        <v>12</v>
      </c>
      <c r="I169" s="2">
        <f>140/12</f>
        <v>11.666666666666666</v>
      </c>
      <c r="J169" s="2">
        <v>12</v>
      </c>
      <c r="K169" s="2">
        <v>1</v>
      </c>
      <c r="L169" s="45">
        <v>1</v>
      </c>
    </row>
    <row r="170" spans="1:12" ht="24.75" customHeight="1" x14ac:dyDescent="0.3">
      <c r="A170" s="2" t="s">
        <v>181</v>
      </c>
      <c r="B170" s="34"/>
      <c r="C170" s="35"/>
      <c r="D170" s="31">
        <v>4814</v>
      </c>
      <c r="E170" s="22">
        <v>21.92</v>
      </c>
      <c r="F170" s="5">
        <v>140</v>
      </c>
      <c r="G170" s="2">
        <f>21.92/140</f>
        <v>0.15657142857142858</v>
      </c>
      <c r="H170" s="12">
        <v>12</v>
      </c>
      <c r="I170" s="2">
        <f>140/12</f>
        <v>11.666666666666666</v>
      </c>
      <c r="J170" s="2">
        <v>12</v>
      </c>
      <c r="K170" s="2">
        <v>1</v>
      </c>
      <c r="L170" s="45">
        <v>1</v>
      </c>
    </row>
    <row r="171" spans="1:12" ht="24.75" customHeight="1" x14ac:dyDescent="0.3">
      <c r="A171" s="2" t="s">
        <v>178</v>
      </c>
      <c r="B171" s="34" t="s">
        <v>275</v>
      </c>
      <c r="C171" s="34"/>
      <c r="D171" s="31">
        <v>145</v>
      </c>
      <c r="E171" s="27">
        <v>31.53</v>
      </c>
      <c r="F171" s="5">
        <v>140</v>
      </c>
      <c r="G171" s="2">
        <f>31.53/140</f>
        <v>0.22521428571428573</v>
      </c>
      <c r="H171" s="12">
        <v>27</v>
      </c>
      <c r="I171" s="2">
        <f>140/27</f>
        <v>5.1851851851851851</v>
      </c>
      <c r="J171" s="2">
        <v>7</v>
      </c>
      <c r="K171" s="2">
        <f>7/27</f>
        <v>0.25925925925925924</v>
      </c>
      <c r="L171" s="49">
        <v>0.26</v>
      </c>
    </row>
    <row r="172" spans="1:12" ht="24.75" customHeight="1" x14ac:dyDescent="0.3">
      <c r="A172" s="2" t="s">
        <v>186</v>
      </c>
      <c r="B172" s="40" t="s">
        <v>280</v>
      </c>
      <c r="C172" s="36"/>
      <c r="D172" s="31">
        <v>873</v>
      </c>
      <c r="E172" s="24">
        <v>27.37</v>
      </c>
      <c r="F172" s="5">
        <v>139</v>
      </c>
      <c r="G172" s="3">
        <f>27.37/139</f>
        <v>0.1969064748201439</v>
      </c>
      <c r="H172" s="12">
        <v>20</v>
      </c>
      <c r="I172" s="2">
        <f>139/20</f>
        <v>6.95</v>
      </c>
      <c r="J172" s="2">
        <v>13</v>
      </c>
      <c r="K172" s="2">
        <f>13/20</f>
        <v>0.65</v>
      </c>
      <c r="L172" s="49">
        <v>0.65</v>
      </c>
    </row>
    <row r="173" spans="1:12" ht="24.75" customHeight="1" x14ac:dyDescent="0.3">
      <c r="A173" s="2" t="s">
        <v>184</v>
      </c>
      <c r="B173" s="34" t="s">
        <v>277</v>
      </c>
      <c r="C173" s="34"/>
      <c r="D173" s="31">
        <v>172</v>
      </c>
      <c r="E173" s="23">
        <v>28.72</v>
      </c>
      <c r="F173" s="5">
        <v>139</v>
      </c>
      <c r="G173" s="2">
        <f>27.82/139</f>
        <v>0.20014388489208634</v>
      </c>
      <c r="H173" s="12">
        <v>27</v>
      </c>
      <c r="I173" s="2">
        <f>139/27</f>
        <v>5.1481481481481479</v>
      </c>
      <c r="J173" s="2">
        <v>5</v>
      </c>
      <c r="K173" s="2">
        <f>5/27</f>
        <v>0.18518518518518517</v>
      </c>
      <c r="L173" s="49">
        <v>0.19</v>
      </c>
    </row>
    <row r="174" spans="1:12" ht="24.75" customHeight="1" x14ac:dyDescent="0.3">
      <c r="A174" s="12" t="s">
        <v>185</v>
      </c>
      <c r="B174" s="36"/>
      <c r="C174" s="36"/>
      <c r="D174" s="31">
        <v>817</v>
      </c>
      <c r="E174" s="27">
        <v>30.85</v>
      </c>
      <c r="F174" s="5">
        <v>139</v>
      </c>
      <c r="G174" s="2">
        <f>30.85/139</f>
        <v>0.22194244604316549</v>
      </c>
      <c r="H174" s="12">
        <v>15</v>
      </c>
      <c r="I174" s="2">
        <f>139/15</f>
        <v>9.2666666666666675</v>
      </c>
      <c r="J174" s="2">
        <v>10</v>
      </c>
      <c r="K174" s="2">
        <f>10/15</f>
        <v>0.66666666666666663</v>
      </c>
      <c r="L174" s="49">
        <v>0.67</v>
      </c>
    </row>
    <row r="175" spans="1:12" ht="24.75" customHeight="1" x14ac:dyDescent="0.3">
      <c r="A175" s="2" t="s">
        <v>187</v>
      </c>
      <c r="B175" s="34" t="s">
        <v>230</v>
      </c>
      <c r="C175" s="34"/>
      <c r="D175" s="31">
        <v>2110</v>
      </c>
      <c r="E175" s="14">
        <v>12.92</v>
      </c>
      <c r="F175" s="5">
        <v>138</v>
      </c>
      <c r="G175" s="2">
        <f>12.92/138</f>
        <v>9.36231884057971E-2</v>
      </c>
      <c r="H175" s="12">
        <v>27</v>
      </c>
      <c r="I175" s="2">
        <f>138/27</f>
        <v>5.1111111111111107</v>
      </c>
      <c r="J175" s="2">
        <v>15</v>
      </c>
      <c r="K175" s="2">
        <f>15/27</f>
        <v>0.55555555555555558</v>
      </c>
      <c r="L175" s="49">
        <v>0.56000000000000005</v>
      </c>
    </row>
    <row r="176" spans="1:12" ht="24.75" customHeight="1" x14ac:dyDescent="0.3">
      <c r="A176" s="2" t="s">
        <v>188</v>
      </c>
      <c r="B176" s="34" t="s">
        <v>248</v>
      </c>
      <c r="C176" s="34"/>
      <c r="D176" s="31">
        <v>3673</v>
      </c>
      <c r="E176" s="17">
        <v>18.02</v>
      </c>
      <c r="F176" s="5">
        <v>138</v>
      </c>
      <c r="G176" s="2">
        <f>18.02/138</f>
        <v>0.13057971014492753</v>
      </c>
      <c r="H176" s="12">
        <v>71</v>
      </c>
      <c r="I176" s="2">
        <f>138/71</f>
        <v>1.943661971830986</v>
      </c>
      <c r="J176" s="32">
        <v>69</v>
      </c>
      <c r="K176" s="2">
        <f>69/71</f>
        <v>0.971830985915493</v>
      </c>
      <c r="L176" s="45">
        <v>0.97</v>
      </c>
    </row>
    <row r="177" spans="1:12" ht="24.75" customHeight="1" x14ac:dyDescent="0.3">
      <c r="A177" s="2" t="s">
        <v>189</v>
      </c>
      <c r="B177" s="2"/>
      <c r="C177" s="2"/>
      <c r="D177" s="31">
        <v>7960</v>
      </c>
      <c r="E177" s="19">
        <v>18.45</v>
      </c>
      <c r="F177" s="5">
        <v>138</v>
      </c>
      <c r="G177" s="3">
        <f>18.45/138</f>
        <v>0.13369565217391305</v>
      </c>
      <c r="H177" s="12">
        <v>62</v>
      </c>
      <c r="I177" s="2">
        <f>138/62</f>
        <v>2.225806451612903</v>
      </c>
      <c r="J177" s="32">
        <v>69</v>
      </c>
      <c r="K177" s="2">
        <v>1</v>
      </c>
      <c r="L177" s="45">
        <v>1</v>
      </c>
    </row>
    <row r="178" spans="1:12" ht="24.75" customHeight="1" x14ac:dyDescent="0.3">
      <c r="A178" s="2" t="s">
        <v>193</v>
      </c>
      <c r="B178" s="34" t="s">
        <v>226</v>
      </c>
      <c r="C178" s="34" t="s">
        <v>315</v>
      </c>
      <c r="D178" s="31">
        <v>2067</v>
      </c>
      <c r="E178" s="14">
        <v>10.7</v>
      </c>
      <c r="F178" s="5">
        <v>137</v>
      </c>
      <c r="G178" s="2">
        <f>10.7/137</f>
        <v>7.8102189781021888E-2</v>
      </c>
      <c r="H178" s="12">
        <v>29</v>
      </c>
      <c r="I178" s="2">
        <f>137/29</f>
        <v>4.7241379310344831</v>
      </c>
      <c r="J178" s="2">
        <v>7</v>
      </c>
      <c r="K178" s="2">
        <f>7/29</f>
        <v>0.2413793103448276</v>
      </c>
      <c r="L178" s="49">
        <v>0.24</v>
      </c>
    </row>
    <row r="179" spans="1:12" ht="24.75" customHeight="1" x14ac:dyDescent="0.3">
      <c r="A179" s="2" t="s">
        <v>192</v>
      </c>
      <c r="B179" s="34" t="s">
        <v>241</v>
      </c>
      <c r="C179" s="34"/>
      <c r="D179" s="31">
        <v>933</v>
      </c>
      <c r="E179" s="17">
        <v>16.399999999999999</v>
      </c>
      <c r="F179" s="5">
        <v>137</v>
      </c>
      <c r="G179" s="2">
        <f>16.4/137</f>
        <v>0.11970802919708028</v>
      </c>
      <c r="H179" s="12">
        <v>20</v>
      </c>
      <c r="I179" s="2">
        <f>137/20</f>
        <v>6.85</v>
      </c>
      <c r="J179" s="2">
        <v>19</v>
      </c>
      <c r="K179" s="2">
        <f>19/20</f>
        <v>0.95</v>
      </c>
      <c r="L179" s="45">
        <v>0.95</v>
      </c>
    </row>
    <row r="180" spans="1:12" ht="24.75" customHeight="1" x14ac:dyDescent="0.3">
      <c r="A180" s="2" t="s">
        <v>190</v>
      </c>
      <c r="B180" s="34"/>
      <c r="C180" s="35"/>
      <c r="D180" s="31">
        <v>747</v>
      </c>
      <c r="E180" s="27">
        <v>30.39</v>
      </c>
      <c r="F180" s="5">
        <v>137</v>
      </c>
      <c r="G180" s="2">
        <f>30.39/137</f>
        <v>0.22182481751824817</v>
      </c>
      <c r="H180" s="12">
        <v>11</v>
      </c>
      <c r="I180" s="2">
        <f>137/11</f>
        <v>12.454545454545455</v>
      </c>
      <c r="J180" s="2">
        <v>5</v>
      </c>
      <c r="K180" s="2">
        <f>5/11</f>
        <v>0.45454545454545453</v>
      </c>
      <c r="L180" s="49">
        <v>0.45</v>
      </c>
    </row>
    <row r="181" spans="1:12" ht="24.75" customHeight="1" x14ac:dyDescent="0.3">
      <c r="A181" s="2" t="s">
        <v>191</v>
      </c>
      <c r="B181" s="36" t="s">
        <v>279</v>
      </c>
      <c r="C181" s="36" t="s">
        <v>311</v>
      </c>
      <c r="D181" s="31">
        <v>770</v>
      </c>
      <c r="E181" s="27">
        <v>31.32</v>
      </c>
      <c r="F181" s="5">
        <v>137</v>
      </c>
      <c r="G181" s="2">
        <f>31.32/137</f>
        <v>0.2286131386861314</v>
      </c>
      <c r="H181" s="12">
        <v>20</v>
      </c>
      <c r="I181" s="2">
        <f>137/20</f>
        <v>6.85</v>
      </c>
      <c r="J181" s="2">
        <v>20</v>
      </c>
      <c r="K181" s="2">
        <v>1</v>
      </c>
      <c r="L181" s="45">
        <v>1</v>
      </c>
    </row>
    <row r="182" spans="1:12" ht="24.75" customHeight="1" x14ac:dyDescent="0.3">
      <c r="A182" s="2" t="s">
        <v>195</v>
      </c>
      <c r="B182" s="34" t="s">
        <v>223</v>
      </c>
      <c r="C182" s="34" t="s">
        <v>315</v>
      </c>
      <c r="D182" s="31">
        <v>5364</v>
      </c>
      <c r="E182" s="44">
        <v>9.76</v>
      </c>
      <c r="F182" s="5">
        <v>136</v>
      </c>
      <c r="G182" s="2">
        <f>9.76/136</f>
        <v>7.1764705882352939E-2</v>
      </c>
      <c r="H182" s="12">
        <v>21</v>
      </c>
      <c r="I182" s="2">
        <f>136/21</f>
        <v>6.4761904761904763</v>
      </c>
      <c r="J182" s="2">
        <v>19</v>
      </c>
      <c r="K182" s="2">
        <f>19/21</f>
        <v>0.90476190476190477</v>
      </c>
      <c r="L182" s="45">
        <v>0.9</v>
      </c>
    </row>
    <row r="183" spans="1:12" ht="24.75" customHeight="1" x14ac:dyDescent="0.3">
      <c r="A183" s="2" t="s">
        <v>196</v>
      </c>
      <c r="B183" s="34"/>
      <c r="C183" s="35"/>
      <c r="D183" s="31">
        <v>5798</v>
      </c>
      <c r="E183" s="17">
        <v>19.73</v>
      </c>
      <c r="F183" s="5">
        <v>136</v>
      </c>
      <c r="G183" s="2">
        <f>19.73/136</f>
        <v>0.14507352941176471</v>
      </c>
      <c r="H183" s="12">
        <v>16</v>
      </c>
      <c r="I183" s="2">
        <f>136/16</f>
        <v>8.5</v>
      </c>
      <c r="J183" s="2">
        <v>16</v>
      </c>
      <c r="K183" s="2">
        <v>1</v>
      </c>
      <c r="L183" s="45">
        <v>1</v>
      </c>
    </row>
    <row r="184" spans="1:12" ht="24.75" customHeight="1" x14ac:dyDescent="0.3">
      <c r="A184" s="2" t="s">
        <v>194</v>
      </c>
      <c r="B184" s="36"/>
      <c r="C184" s="36" t="s">
        <v>313</v>
      </c>
      <c r="D184" s="31">
        <v>2781</v>
      </c>
      <c r="E184" s="22">
        <v>21.06</v>
      </c>
      <c r="F184" s="5">
        <v>136</v>
      </c>
      <c r="G184" s="2">
        <f>21.06/136</f>
        <v>0.15485294117647058</v>
      </c>
      <c r="H184" s="12">
        <v>34</v>
      </c>
      <c r="I184" s="2">
        <f>136/34</f>
        <v>4</v>
      </c>
      <c r="J184" s="2">
        <v>34</v>
      </c>
      <c r="K184" s="2">
        <v>1</v>
      </c>
      <c r="L184" s="45">
        <v>1</v>
      </c>
    </row>
    <row r="185" spans="1:12" ht="24.75" customHeight="1" x14ac:dyDescent="0.3">
      <c r="A185" s="12" t="s">
        <v>197</v>
      </c>
      <c r="B185" s="36"/>
      <c r="C185" s="36"/>
      <c r="D185" s="31">
        <v>59</v>
      </c>
      <c r="E185" s="14">
        <v>13.13</v>
      </c>
      <c r="F185" s="5">
        <v>135</v>
      </c>
      <c r="G185" s="2">
        <f>13.13/135</f>
        <v>9.7259259259259268E-2</v>
      </c>
      <c r="H185" s="12">
        <v>34</v>
      </c>
      <c r="I185" s="2">
        <f>135/34</f>
        <v>3.9705882352941178</v>
      </c>
      <c r="J185" s="2">
        <v>34</v>
      </c>
      <c r="K185" s="2">
        <v>1</v>
      </c>
      <c r="L185" s="45">
        <v>1</v>
      </c>
    </row>
    <row r="186" spans="1:12" ht="24.75" customHeight="1" x14ac:dyDescent="0.3">
      <c r="A186" s="2" t="s">
        <v>198</v>
      </c>
      <c r="B186" s="34"/>
      <c r="C186" s="35"/>
      <c r="D186" s="31">
        <v>3660</v>
      </c>
      <c r="E186" s="17">
        <v>18.190000000000001</v>
      </c>
      <c r="F186" s="5">
        <v>135</v>
      </c>
      <c r="G186" s="2">
        <f>18.19/135</f>
        <v>0.13474074074074074</v>
      </c>
      <c r="H186" s="12">
        <v>62</v>
      </c>
      <c r="I186" s="2">
        <f>135/62</f>
        <v>2.1774193548387095</v>
      </c>
      <c r="J186" s="32">
        <v>62</v>
      </c>
      <c r="K186" s="2">
        <v>1</v>
      </c>
      <c r="L186" s="45">
        <v>1</v>
      </c>
    </row>
    <row r="187" spans="1:12" ht="24.75" customHeight="1" x14ac:dyDescent="0.3">
      <c r="A187" s="2" t="s">
        <v>199</v>
      </c>
      <c r="B187" s="40" t="s">
        <v>279</v>
      </c>
      <c r="C187" s="40" t="s">
        <v>283</v>
      </c>
      <c r="D187" s="31">
        <v>865</v>
      </c>
      <c r="E187" s="17">
        <v>19.18</v>
      </c>
      <c r="F187" s="5">
        <v>134</v>
      </c>
      <c r="G187" s="2">
        <f>19.18/134</f>
        <v>0.14313432835820894</v>
      </c>
      <c r="H187" s="12">
        <v>18</v>
      </c>
      <c r="I187" s="2">
        <f>134/18</f>
        <v>7.4444444444444446</v>
      </c>
      <c r="J187" s="2">
        <v>18</v>
      </c>
      <c r="K187" s="2">
        <v>1</v>
      </c>
      <c r="L187" s="45">
        <v>1</v>
      </c>
    </row>
    <row r="188" spans="1:12" ht="24.75" customHeight="1" x14ac:dyDescent="0.3">
      <c r="A188" s="2" t="s">
        <v>202</v>
      </c>
      <c r="B188" s="34"/>
      <c r="C188" s="35"/>
      <c r="D188" s="31">
        <v>4757</v>
      </c>
      <c r="E188" s="14">
        <v>12.58</v>
      </c>
      <c r="F188" s="5">
        <v>133</v>
      </c>
      <c r="G188" s="2">
        <f>12.58/133</f>
        <v>9.4586466165413538E-2</v>
      </c>
      <c r="H188" s="12">
        <v>22</v>
      </c>
      <c r="I188" s="2">
        <f>133/22</f>
        <v>6.0454545454545459</v>
      </c>
      <c r="J188" s="2">
        <v>22</v>
      </c>
      <c r="K188" s="2">
        <v>1</v>
      </c>
      <c r="L188" s="45">
        <v>1</v>
      </c>
    </row>
    <row r="189" spans="1:12" ht="24.75" customHeight="1" x14ac:dyDescent="0.3">
      <c r="A189" s="2" t="s">
        <v>201</v>
      </c>
      <c r="B189" s="34"/>
      <c r="C189" s="35"/>
      <c r="D189" s="31">
        <v>2005</v>
      </c>
      <c r="E189" s="14">
        <v>14.71</v>
      </c>
      <c r="F189" s="5">
        <v>133</v>
      </c>
      <c r="G189" s="2">
        <f>14.71/133</f>
        <v>0.11060150375939851</v>
      </c>
      <c r="H189" s="12">
        <v>23</v>
      </c>
      <c r="I189" s="2">
        <f>133/23</f>
        <v>5.7826086956521738</v>
      </c>
      <c r="J189" s="2">
        <v>20</v>
      </c>
      <c r="K189" s="2">
        <f>20/23</f>
        <v>0.86956521739130432</v>
      </c>
      <c r="L189" s="45">
        <v>0.87</v>
      </c>
    </row>
    <row r="190" spans="1:12" ht="24.75" customHeight="1" x14ac:dyDescent="0.3">
      <c r="A190" s="33" t="s">
        <v>200</v>
      </c>
      <c r="B190" s="40" t="s">
        <v>240</v>
      </c>
      <c r="C190" s="40"/>
      <c r="D190" s="31">
        <v>774</v>
      </c>
      <c r="E190" s="27">
        <v>34.15</v>
      </c>
      <c r="F190" s="5">
        <v>133</v>
      </c>
      <c r="G190" s="2">
        <f>34.15/133</f>
        <v>0.25676691729323309</v>
      </c>
      <c r="H190" s="12">
        <v>15</v>
      </c>
      <c r="I190" s="2">
        <f>133/15</f>
        <v>8.8666666666666671</v>
      </c>
      <c r="J190" s="2">
        <v>8</v>
      </c>
      <c r="K190" s="2">
        <f>8/15</f>
        <v>0.53333333333333333</v>
      </c>
      <c r="L190" s="49">
        <v>0.53</v>
      </c>
    </row>
    <row r="191" spans="1:12" ht="24.75" customHeight="1" x14ac:dyDescent="0.3">
      <c r="A191" s="2" t="s">
        <v>204</v>
      </c>
      <c r="B191" s="40" t="s">
        <v>280</v>
      </c>
      <c r="C191" s="36"/>
      <c r="D191" s="31">
        <v>2497</v>
      </c>
      <c r="E191" s="14">
        <v>12.5</v>
      </c>
      <c r="F191" s="5">
        <v>132</v>
      </c>
      <c r="G191" s="2">
        <f>12.5/132</f>
        <v>9.4696969696969696E-2</v>
      </c>
      <c r="H191" s="12">
        <v>26</v>
      </c>
      <c r="I191" s="2">
        <f>132/26</f>
        <v>5.0769230769230766</v>
      </c>
      <c r="J191" s="2">
        <v>26</v>
      </c>
      <c r="K191" s="2">
        <v>1</v>
      </c>
      <c r="L191" s="45">
        <v>1</v>
      </c>
    </row>
    <row r="192" spans="1:12" ht="24.75" customHeight="1" x14ac:dyDescent="0.3">
      <c r="A192" s="2" t="s">
        <v>203</v>
      </c>
      <c r="B192" s="34" t="s">
        <v>302</v>
      </c>
      <c r="C192" s="35"/>
      <c r="D192" s="31">
        <v>2139</v>
      </c>
      <c r="E192" s="14">
        <v>12.66</v>
      </c>
      <c r="F192" s="5">
        <v>132</v>
      </c>
      <c r="G192" s="2">
        <f>12.66/132</f>
        <v>9.5909090909090916E-2</v>
      </c>
      <c r="H192" s="12">
        <v>23</v>
      </c>
      <c r="I192" s="2">
        <f>132/23</f>
        <v>5.7391304347826084</v>
      </c>
      <c r="J192" s="2">
        <v>13</v>
      </c>
      <c r="K192" s="2">
        <f>13/23</f>
        <v>0.56521739130434778</v>
      </c>
      <c r="L192" s="49">
        <v>0.56000000000000005</v>
      </c>
    </row>
    <row r="193" spans="1:12" ht="24.75" customHeight="1" x14ac:dyDescent="0.3">
      <c r="A193" s="10" t="s">
        <v>205</v>
      </c>
      <c r="B193" s="34" t="s">
        <v>217</v>
      </c>
      <c r="C193" s="35"/>
      <c r="D193" s="31">
        <v>4579</v>
      </c>
      <c r="E193" s="17">
        <v>17.04</v>
      </c>
      <c r="F193" s="5">
        <v>132</v>
      </c>
      <c r="G193" s="2">
        <f>17.04/132</f>
        <v>0.12909090909090909</v>
      </c>
      <c r="H193" s="12">
        <v>16</v>
      </c>
      <c r="I193" s="2">
        <f>132/16</f>
        <v>8.25</v>
      </c>
      <c r="J193" s="2">
        <v>15</v>
      </c>
      <c r="K193" s="2">
        <f>15/16</f>
        <v>0.9375</v>
      </c>
      <c r="L193" s="45">
        <v>0.94</v>
      </c>
    </row>
    <row r="194" spans="1:12" ht="24.75" customHeight="1" x14ac:dyDescent="0.3">
      <c r="A194" s="2" t="s">
        <v>208</v>
      </c>
      <c r="B194" s="34" t="s">
        <v>252</v>
      </c>
      <c r="C194" s="35"/>
      <c r="D194" s="31">
        <v>2577</v>
      </c>
      <c r="E194" s="17">
        <v>16.5</v>
      </c>
      <c r="F194" s="5">
        <v>131</v>
      </c>
      <c r="G194" s="2">
        <f>16.5/131</f>
        <v>0.12595419847328243</v>
      </c>
      <c r="H194" s="12">
        <v>48</v>
      </c>
      <c r="I194" s="2">
        <f>131/48</f>
        <v>2.7291666666666665</v>
      </c>
      <c r="J194" s="2">
        <v>48</v>
      </c>
      <c r="K194" s="2">
        <v>1</v>
      </c>
      <c r="L194" s="45">
        <v>1</v>
      </c>
    </row>
    <row r="195" spans="1:12" ht="24.75" customHeight="1" x14ac:dyDescent="0.3">
      <c r="A195" s="2" t="s">
        <v>206</v>
      </c>
      <c r="B195" s="36"/>
      <c r="C195" s="36"/>
      <c r="D195" s="31">
        <v>49</v>
      </c>
      <c r="E195" s="17">
        <v>16.920000000000002</v>
      </c>
      <c r="F195" s="5">
        <v>131</v>
      </c>
      <c r="G195" s="2">
        <f>16.92/131</f>
        <v>0.12916030534351147</v>
      </c>
      <c r="H195" s="12">
        <v>36</v>
      </c>
      <c r="I195" s="2">
        <f>131/36</f>
        <v>3.6388888888888888</v>
      </c>
      <c r="J195" s="2">
        <v>36</v>
      </c>
      <c r="K195" s="2">
        <v>1</v>
      </c>
      <c r="L195" s="45">
        <v>1</v>
      </c>
    </row>
    <row r="196" spans="1:12" ht="24.75" customHeight="1" x14ac:dyDescent="0.3">
      <c r="A196" s="12" t="s">
        <v>207</v>
      </c>
      <c r="B196" s="36"/>
      <c r="C196" s="36"/>
      <c r="D196" s="31">
        <v>191</v>
      </c>
      <c r="E196" s="23">
        <v>25.36</v>
      </c>
      <c r="F196" s="5">
        <v>131</v>
      </c>
      <c r="G196" s="2">
        <f>25.36/131</f>
        <v>0.19358778625954198</v>
      </c>
      <c r="H196" s="12">
        <v>34</v>
      </c>
      <c r="I196" s="2">
        <f>131/34</f>
        <v>3.8529411764705883</v>
      </c>
      <c r="J196" s="2">
        <v>7</v>
      </c>
      <c r="K196" s="2">
        <f>7/34</f>
        <v>0.20588235294117646</v>
      </c>
      <c r="L196" s="49">
        <v>0.21</v>
      </c>
    </row>
    <row r="197" spans="1:12" ht="24.75" customHeight="1" x14ac:dyDescent="0.3">
      <c r="A197" s="10" t="s">
        <v>209</v>
      </c>
      <c r="B197" s="34" t="s">
        <v>237</v>
      </c>
      <c r="C197" s="34"/>
      <c r="D197" s="31">
        <v>2041</v>
      </c>
      <c r="E197" s="17">
        <v>15.06</v>
      </c>
      <c r="F197" s="5">
        <v>130</v>
      </c>
      <c r="G197" s="2">
        <f>15.06/130</f>
        <v>0.11584615384615385</v>
      </c>
      <c r="H197" s="12">
        <v>38</v>
      </c>
      <c r="I197" s="2">
        <f>130/38</f>
        <v>3.4210526315789473</v>
      </c>
      <c r="J197" s="2">
        <v>11</v>
      </c>
      <c r="K197" s="2">
        <f>11/38</f>
        <v>0.28947368421052633</v>
      </c>
      <c r="L197" s="49">
        <v>0.28999999999999998</v>
      </c>
    </row>
    <row r="198" spans="1:12" ht="24.75" customHeight="1" x14ac:dyDescent="0.3">
      <c r="A198" s="2" t="s">
        <v>210</v>
      </c>
      <c r="B198" s="34" t="s">
        <v>309</v>
      </c>
      <c r="C198" s="34"/>
      <c r="D198" s="31">
        <v>3793</v>
      </c>
      <c r="E198" s="17">
        <v>15.22</v>
      </c>
      <c r="F198" s="5">
        <v>130</v>
      </c>
      <c r="G198" s="2">
        <f>15.22/130</f>
        <v>0.11707692307692308</v>
      </c>
      <c r="H198" s="12">
        <v>20</v>
      </c>
      <c r="I198" s="2">
        <f>130/20</f>
        <v>6.5</v>
      </c>
      <c r="J198" s="2">
        <v>9</v>
      </c>
      <c r="K198" s="2">
        <f>9/20</f>
        <v>0.45</v>
      </c>
      <c r="L198" s="49">
        <v>0.45</v>
      </c>
    </row>
    <row r="199" spans="1:12" ht="24.75" customHeight="1" x14ac:dyDescent="0.3">
      <c r="A199" s="2" t="s">
        <v>212</v>
      </c>
      <c r="B199" s="34"/>
      <c r="C199" s="34"/>
      <c r="D199" s="31">
        <v>4660</v>
      </c>
      <c r="E199" s="17">
        <v>17.53</v>
      </c>
      <c r="F199" s="5">
        <v>129</v>
      </c>
      <c r="G199" s="2">
        <f>17.53/129</f>
        <v>0.13589147286821707</v>
      </c>
      <c r="H199" s="12">
        <v>32</v>
      </c>
      <c r="I199" s="2">
        <f>129/32</f>
        <v>4.03125</v>
      </c>
      <c r="J199" s="2">
        <v>20</v>
      </c>
      <c r="K199" s="2">
        <f>20/32</f>
        <v>0.625</v>
      </c>
      <c r="L199" s="49">
        <v>0.63</v>
      </c>
    </row>
    <row r="200" spans="1:12" ht="24.75" customHeight="1" x14ac:dyDescent="0.3">
      <c r="A200" s="2" t="s">
        <v>211</v>
      </c>
      <c r="B200" s="36"/>
      <c r="C200" s="36"/>
      <c r="D200" s="31">
        <v>2942</v>
      </c>
      <c r="E200" s="22">
        <v>23.3</v>
      </c>
      <c r="F200" s="5">
        <v>129</v>
      </c>
      <c r="G200" s="2">
        <f>23.3/129</f>
        <v>0.18062015503875969</v>
      </c>
      <c r="H200" s="12">
        <v>16</v>
      </c>
      <c r="I200" s="2">
        <f>129/16</f>
        <v>8.0625</v>
      </c>
      <c r="J200" s="2">
        <v>16</v>
      </c>
      <c r="K200" s="2">
        <v>1</v>
      </c>
      <c r="L200" s="45">
        <v>1</v>
      </c>
    </row>
    <row r="201" spans="1:12" ht="24.75" customHeight="1" x14ac:dyDescent="0.3">
      <c r="A201" s="2" t="s">
        <v>215</v>
      </c>
      <c r="B201" s="34" t="s">
        <v>304</v>
      </c>
      <c r="C201" s="35"/>
      <c r="D201" s="31">
        <v>2225</v>
      </c>
      <c r="E201" s="14">
        <v>12.34</v>
      </c>
      <c r="F201" s="5">
        <v>128</v>
      </c>
      <c r="G201" s="2">
        <f>12.34/128</f>
        <v>9.6406249999999999E-2</v>
      </c>
      <c r="H201" s="12">
        <v>23</v>
      </c>
      <c r="I201" s="2">
        <f>128/23</f>
        <v>5.5652173913043477</v>
      </c>
      <c r="J201" s="2">
        <v>19</v>
      </c>
      <c r="K201" s="2">
        <f>19/23</f>
        <v>0.82608695652173914</v>
      </c>
      <c r="L201" s="49">
        <v>0.83</v>
      </c>
    </row>
    <row r="202" spans="1:12" ht="24.75" customHeight="1" x14ac:dyDescent="0.3">
      <c r="A202" s="2" t="s">
        <v>293</v>
      </c>
      <c r="B202" s="34" t="s">
        <v>303</v>
      </c>
      <c r="C202" s="35"/>
      <c r="D202" s="31">
        <v>6500</v>
      </c>
      <c r="E202" s="17">
        <v>15.13</v>
      </c>
      <c r="F202" s="5">
        <v>128</v>
      </c>
      <c r="G202" s="2">
        <f>15.13/128</f>
        <v>0.11820312500000001</v>
      </c>
      <c r="H202" s="12">
        <v>15</v>
      </c>
      <c r="I202" s="2">
        <f>128/15</f>
        <v>8.5333333333333332</v>
      </c>
      <c r="J202" s="2">
        <v>15</v>
      </c>
      <c r="K202" s="2">
        <v>1</v>
      </c>
      <c r="L202" s="45">
        <v>1</v>
      </c>
    </row>
    <row r="203" spans="1:12" ht="24.75" customHeight="1" x14ac:dyDescent="0.3">
      <c r="A203" s="2" t="s">
        <v>292</v>
      </c>
      <c r="B203" s="34" t="s">
        <v>305</v>
      </c>
      <c r="C203" s="35"/>
      <c r="D203" s="31">
        <v>4479</v>
      </c>
      <c r="E203" s="23">
        <v>25.81</v>
      </c>
      <c r="F203" s="5">
        <v>128</v>
      </c>
      <c r="G203" s="2">
        <f>25.81/128</f>
        <v>0.20164062499999999</v>
      </c>
      <c r="H203" s="12">
        <v>25</v>
      </c>
      <c r="I203" s="2">
        <f>128/25</f>
        <v>5.12</v>
      </c>
      <c r="J203" s="2">
        <v>5</v>
      </c>
      <c r="K203" s="2">
        <f>5/25</f>
        <v>0.2</v>
      </c>
      <c r="L203" s="49">
        <v>0.2</v>
      </c>
    </row>
    <row r="204" spans="1:12" ht="24.75" customHeight="1" x14ac:dyDescent="0.3">
      <c r="A204" s="2" t="s">
        <v>214</v>
      </c>
      <c r="B204" s="34" t="s">
        <v>251</v>
      </c>
      <c r="C204" s="35"/>
      <c r="D204" s="31">
        <v>1231</v>
      </c>
      <c r="E204" s="27">
        <v>31.67</v>
      </c>
      <c r="F204" s="5">
        <v>128</v>
      </c>
      <c r="G204" s="2">
        <f>31.67/128</f>
        <v>0.24742187500000001</v>
      </c>
      <c r="H204" s="12">
        <v>17</v>
      </c>
      <c r="I204" s="2">
        <f>128/17</f>
        <v>7.5294117647058822</v>
      </c>
      <c r="J204" s="2">
        <v>6</v>
      </c>
      <c r="K204" s="2">
        <f>6/17</f>
        <v>0.35294117647058826</v>
      </c>
      <c r="L204" s="49">
        <v>0.35</v>
      </c>
    </row>
    <row r="205" spans="1:12" ht="24.75" customHeight="1" x14ac:dyDescent="0.3">
      <c r="A205" s="33" t="s">
        <v>213</v>
      </c>
      <c r="B205" s="40" t="s">
        <v>240</v>
      </c>
      <c r="C205" s="40"/>
      <c r="D205" s="31">
        <v>234</v>
      </c>
      <c r="E205" s="27">
        <v>32.97</v>
      </c>
      <c r="F205" s="5">
        <v>128</v>
      </c>
      <c r="G205" s="2">
        <f>32.97/128</f>
        <v>0.25757812499999999</v>
      </c>
      <c r="H205" s="12">
        <v>19</v>
      </c>
      <c r="I205" s="2">
        <f>128/19</f>
        <v>6.7368421052631575</v>
      </c>
      <c r="J205" s="2">
        <v>12</v>
      </c>
      <c r="K205" s="2">
        <f>12/19</f>
        <v>0.63157894736842102</v>
      </c>
      <c r="L205" s="49">
        <v>0.63</v>
      </c>
    </row>
    <row r="206" spans="1:12" ht="24.75" customHeight="1" x14ac:dyDescent="0.3">
      <c r="A206" s="51" t="s">
        <v>294</v>
      </c>
      <c r="B206" s="36"/>
      <c r="C206" s="36"/>
      <c r="D206" s="31">
        <v>488</v>
      </c>
      <c r="E206" s="22">
        <v>24.05</v>
      </c>
      <c r="F206" s="5">
        <v>127</v>
      </c>
      <c r="G206" s="2">
        <f>24.05/127</f>
        <v>0.18937007874015749</v>
      </c>
      <c r="H206" s="12">
        <v>18</v>
      </c>
      <c r="I206" s="2">
        <f>127/18</f>
        <v>7.0555555555555554</v>
      </c>
      <c r="J206" s="2">
        <v>17</v>
      </c>
      <c r="K206" s="2">
        <f>17/18</f>
        <v>0.94444444444444442</v>
      </c>
      <c r="L206" s="45">
        <v>0.94</v>
      </c>
    </row>
    <row r="207" spans="1:12" ht="24.75" customHeight="1" x14ac:dyDescent="0.3">
      <c r="A207" s="33" t="s">
        <v>295</v>
      </c>
      <c r="B207" s="40" t="s">
        <v>240</v>
      </c>
      <c r="C207" s="40"/>
      <c r="D207" s="31">
        <v>3395</v>
      </c>
      <c r="E207" s="22">
        <v>22.02</v>
      </c>
      <c r="F207" s="5">
        <v>126</v>
      </c>
      <c r="G207" s="2">
        <f>22.02/126</f>
        <v>0.17476190476190476</v>
      </c>
      <c r="H207" s="12">
        <v>22</v>
      </c>
      <c r="I207" s="2">
        <f>126/22</f>
        <v>5.7272727272727275</v>
      </c>
      <c r="J207" s="2">
        <v>15</v>
      </c>
      <c r="K207" s="2">
        <f>15/22</f>
        <v>0.68181818181818177</v>
      </c>
      <c r="L207" s="49">
        <v>0.68</v>
      </c>
    </row>
    <row r="208" spans="1:12" ht="24.75" customHeight="1" x14ac:dyDescent="0.3">
      <c r="A208" s="51" t="s">
        <v>297</v>
      </c>
      <c r="B208" s="40" t="s">
        <v>279</v>
      </c>
      <c r="C208" s="36"/>
      <c r="D208" s="31">
        <v>432</v>
      </c>
      <c r="E208" s="17">
        <v>16.48</v>
      </c>
      <c r="F208" s="5">
        <v>125</v>
      </c>
      <c r="G208" s="2">
        <f>16.48/125</f>
        <v>0.13184000000000001</v>
      </c>
      <c r="H208" s="12">
        <v>27</v>
      </c>
      <c r="I208" s="2">
        <f>125/27</f>
        <v>4.6296296296296298</v>
      </c>
      <c r="J208" s="2">
        <v>21</v>
      </c>
      <c r="K208" s="2">
        <f>21/27</f>
        <v>0.77777777777777779</v>
      </c>
      <c r="L208" s="49">
        <v>0.78</v>
      </c>
    </row>
    <row r="209" spans="1:12" ht="24.75" customHeight="1" x14ac:dyDescent="0.3">
      <c r="A209" s="2" t="s">
        <v>301</v>
      </c>
      <c r="B209" s="34" t="s">
        <v>308</v>
      </c>
      <c r="C209" s="35"/>
      <c r="D209" s="31">
        <v>2985</v>
      </c>
      <c r="E209" s="17">
        <v>17.38</v>
      </c>
      <c r="F209" s="5">
        <v>125</v>
      </c>
      <c r="G209" s="2">
        <f>17.38/125</f>
        <v>0.13904</v>
      </c>
      <c r="H209" s="12">
        <v>17</v>
      </c>
      <c r="I209" s="2">
        <f>125/17</f>
        <v>7.3529411764705879</v>
      </c>
      <c r="J209" s="2">
        <v>17</v>
      </c>
      <c r="K209" s="2">
        <v>1</v>
      </c>
      <c r="L209" s="45">
        <v>1</v>
      </c>
    </row>
    <row r="210" spans="1:12" ht="24.75" customHeight="1" x14ac:dyDescent="0.3">
      <c r="A210" s="2" t="s">
        <v>298</v>
      </c>
      <c r="B210" s="34" t="s">
        <v>307</v>
      </c>
      <c r="C210" s="35"/>
      <c r="D210" s="31">
        <v>917</v>
      </c>
      <c r="E210" s="22">
        <v>20.92</v>
      </c>
      <c r="F210" s="5">
        <v>125</v>
      </c>
      <c r="G210" s="2">
        <f>20.92/125</f>
        <v>0.16736000000000001</v>
      </c>
      <c r="H210" s="12">
        <v>17</v>
      </c>
      <c r="I210" s="2">
        <f>125/17</f>
        <v>7.3529411764705879</v>
      </c>
      <c r="J210" s="2">
        <v>8</v>
      </c>
      <c r="K210" s="2">
        <f>8/17</f>
        <v>0.47058823529411764</v>
      </c>
      <c r="L210" s="49">
        <v>0.47</v>
      </c>
    </row>
    <row r="211" spans="1:12" ht="24.75" customHeight="1" x14ac:dyDescent="0.3">
      <c r="A211" s="2" t="s">
        <v>299</v>
      </c>
      <c r="B211" s="34" t="s">
        <v>265</v>
      </c>
      <c r="C211" s="35"/>
      <c r="D211" s="31">
        <v>1020</v>
      </c>
      <c r="E211" s="22">
        <v>21.28</v>
      </c>
      <c r="F211" s="5">
        <v>125</v>
      </c>
      <c r="G211" s="2">
        <f>21.28/125</f>
        <v>0.17024</v>
      </c>
      <c r="H211" s="12">
        <v>11</v>
      </c>
      <c r="I211" s="2">
        <f>125/11</f>
        <v>11.363636363636363</v>
      </c>
      <c r="J211" s="2">
        <v>11</v>
      </c>
      <c r="K211" s="2">
        <v>1</v>
      </c>
      <c r="L211" s="45">
        <v>1</v>
      </c>
    </row>
    <row r="212" spans="1:12" ht="24.75" customHeight="1" x14ac:dyDescent="0.3">
      <c r="A212" s="2" t="s">
        <v>300</v>
      </c>
      <c r="B212" s="36"/>
      <c r="C212" s="36"/>
      <c r="D212" s="31">
        <v>1266</v>
      </c>
      <c r="E212" s="23">
        <v>28.17</v>
      </c>
      <c r="F212" s="5">
        <v>125</v>
      </c>
      <c r="G212" s="2">
        <f>28.17/125</f>
        <v>0.22536</v>
      </c>
      <c r="H212" s="12">
        <v>15</v>
      </c>
      <c r="I212" s="2">
        <f>125/15</f>
        <v>8.3333333333333339</v>
      </c>
      <c r="J212" s="2">
        <v>15</v>
      </c>
      <c r="K212" s="2">
        <v>1</v>
      </c>
      <c r="L212" s="45">
        <v>1</v>
      </c>
    </row>
    <row r="213" spans="1:12" ht="24.75" customHeight="1" x14ac:dyDescent="0.3">
      <c r="A213" s="2" t="s">
        <v>296</v>
      </c>
      <c r="B213" s="34" t="s">
        <v>306</v>
      </c>
      <c r="C213" s="35"/>
      <c r="D213" s="31">
        <v>170</v>
      </c>
      <c r="E213" s="27">
        <v>34.92</v>
      </c>
      <c r="F213" s="5">
        <v>125</v>
      </c>
      <c r="G213" s="2">
        <f>34.92/125</f>
        <v>0.27936</v>
      </c>
      <c r="H213" s="12">
        <v>11</v>
      </c>
      <c r="I213" s="2">
        <f>125/11</f>
        <v>11.363636363636363</v>
      </c>
      <c r="J213" s="2">
        <v>1</v>
      </c>
      <c r="K213" s="2">
        <f>1/11</f>
        <v>9.0909090909090912E-2</v>
      </c>
      <c r="L213" s="50">
        <v>0.09</v>
      </c>
    </row>
    <row r="214" spans="1:12" ht="24.75" customHeight="1" x14ac:dyDescent="0.3">
      <c r="A214" s="2" t="s">
        <v>326</v>
      </c>
      <c r="D214" s="56">
        <v>3576</v>
      </c>
      <c r="E214" s="19">
        <v>15.74</v>
      </c>
      <c r="F214" s="57">
        <v>124</v>
      </c>
      <c r="G214" s="61">
        <v>0.12693548387096701</v>
      </c>
      <c r="H214" s="12">
        <v>31</v>
      </c>
      <c r="I214" s="2">
        <v>4</v>
      </c>
      <c r="J214" s="54">
        <v>17</v>
      </c>
      <c r="K214" s="2">
        <v>0.54838709677419295</v>
      </c>
      <c r="L214" s="49">
        <v>0.55000000000000004</v>
      </c>
    </row>
    <row r="215" spans="1:12" ht="24.75" customHeight="1" x14ac:dyDescent="0.3">
      <c r="A215" s="2" t="s">
        <v>325</v>
      </c>
      <c r="D215" s="56">
        <v>1090</v>
      </c>
      <c r="E215" s="22">
        <v>21.15</v>
      </c>
      <c r="F215" s="57">
        <v>123</v>
      </c>
      <c r="G215" s="2">
        <v>0.171951219512195</v>
      </c>
      <c r="H215" s="12">
        <v>19</v>
      </c>
      <c r="I215" s="2">
        <v>6.4736842105263097</v>
      </c>
      <c r="J215" s="54">
        <v>15</v>
      </c>
      <c r="K215" s="2">
        <v>0.78947368421052599</v>
      </c>
      <c r="L215" s="49">
        <v>0.79</v>
      </c>
    </row>
    <row r="216" spans="1:12" ht="24.75" customHeight="1" x14ac:dyDescent="0.3">
      <c r="A216" s="4" t="s">
        <v>330</v>
      </c>
      <c r="D216" s="56">
        <v>4302</v>
      </c>
      <c r="E216" s="22">
        <v>24.31</v>
      </c>
      <c r="F216" s="57">
        <v>123</v>
      </c>
      <c r="G216" s="2">
        <v>0.197642276422764</v>
      </c>
      <c r="H216" s="12">
        <v>29</v>
      </c>
      <c r="I216" s="2">
        <v>4.2413793103448203</v>
      </c>
      <c r="J216" s="54">
        <v>9</v>
      </c>
      <c r="K216" s="2">
        <v>0.31034482758620602</v>
      </c>
      <c r="L216" s="49">
        <v>0.31</v>
      </c>
    </row>
    <row r="217" spans="1:12" ht="24.75" customHeight="1" x14ac:dyDescent="0.3">
      <c r="A217" s="2" t="s">
        <v>324</v>
      </c>
      <c r="D217" s="56">
        <v>942</v>
      </c>
      <c r="E217" s="23">
        <v>29.29</v>
      </c>
      <c r="F217" s="57">
        <v>123</v>
      </c>
      <c r="G217" s="2">
        <v>0.23813008130081301</v>
      </c>
      <c r="H217" s="12">
        <v>14</v>
      </c>
      <c r="I217" s="2">
        <v>8.7857142857142794</v>
      </c>
      <c r="J217" s="54">
        <v>9</v>
      </c>
      <c r="K217" s="2">
        <v>0.64285714285714202</v>
      </c>
      <c r="L217" s="49">
        <v>0.64</v>
      </c>
    </row>
    <row r="218" spans="1:12" ht="24.75" customHeight="1" x14ac:dyDescent="0.3">
      <c r="A218" s="2" t="s">
        <v>328</v>
      </c>
      <c r="D218" s="56">
        <v>3032</v>
      </c>
      <c r="E218" s="22">
        <v>23.85</v>
      </c>
      <c r="F218" s="57">
        <v>122</v>
      </c>
      <c r="G218" s="2">
        <v>0.19549180327868801</v>
      </c>
      <c r="H218" s="12">
        <v>13</v>
      </c>
      <c r="I218" s="2">
        <v>9.3846153846153797</v>
      </c>
      <c r="J218" s="54">
        <v>13</v>
      </c>
      <c r="K218" s="2">
        <v>1</v>
      </c>
      <c r="L218" s="45">
        <v>1</v>
      </c>
    </row>
    <row r="219" spans="1:12" ht="24.75" customHeight="1" x14ac:dyDescent="0.3">
      <c r="A219" s="4" t="s">
        <v>333</v>
      </c>
      <c r="D219" s="56">
        <v>6180</v>
      </c>
      <c r="E219" s="23">
        <v>27.49</v>
      </c>
      <c r="F219" s="57">
        <v>122</v>
      </c>
      <c r="G219" s="2">
        <v>0.22532786885245901</v>
      </c>
      <c r="H219" s="12">
        <v>18</v>
      </c>
      <c r="I219" s="2">
        <v>6.7777777777777697</v>
      </c>
      <c r="J219" s="54">
        <v>18</v>
      </c>
      <c r="K219" s="2">
        <v>1</v>
      </c>
      <c r="L219" s="45">
        <v>1</v>
      </c>
    </row>
    <row r="220" spans="1:12" ht="24.75" customHeight="1" x14ac:dyDescent="0.3">
      <c r="A220" s="4" t="s">
        <v>331</v>
      </c>
      <c r="D220" s="56">
        <v>5339</v>
      </c>
      <c r="E220" s="27">
        <v>31.73</v>
      </c>
      <c r="F220" s="57">
        <v>122</v>
      </c>
      <c r="G220" s="2">
        <v>0.260081967213114</v>
      </c>
      <c r="H220" s="12">
        <v>17</v>
      </c>
      <c r="I220" s="2">
        <v>7.1764705882352899</v>
      </c>
      <c r="J220" s="54">
        <v>17</v>
      </c>
      <c r="K220" s="2">
        <v>1</v>
      </c>
      <c r="L220" s="45">
        <v>1</v>
      </c>
    </row>
    <row r="221" spans="1:12" ht="24.75" customHeight="1" x14ac:dyDescent="0.3">
      <c r="A221" s="2" t="s">
        <v>329</v>
      </c>
      <c r="D221" s="56">
        <v>3057</v>
      </c>
      <c r="E221" s="27">
        <v>34.090000000000003</v>
      </c>
      <c r="F221" s="57">
        <v>122</v>
      </c>
      <c r="G221" s="2">
        <v>0.27942622950819601</v>
      </c>
      <c r="H221" s="12">
        <v>12</v>
      </c>
      <c r="I221" s="2">
        <v>10.1666666666666</v>
      </c>
      <c r="J221" s="54">
        <v>12</v>
      </c>
      <c r="K221" s="54">
        <v>1</v>
      </c>
      <c r="L221" s="45">
        <v>1</v>
      </c>
    </row>
    <row r="222" spans="1:12" ht="24.75" customHeight="1" x14ac:dyDescent="0.3">
      <c r="A222" s="4" t="s">
        <v>332</v>
      </c>
      <c r="D222" s="56">
        <v>5954</v>
      </c>
      <c r="E222" s="14">
        <v>11.05</v>
      </c>
      <c r="F222" s="57">
        <v>121</v>
      </c>
      <c r="G222" s="2">
        <v>9.1322314049586795E-2</v>
      </c>
      <c r="H222" s="12">
        <v>17</v>
      </c>
      <c r="I222" s="2">
        <v>7.1176470588235201</v>
      </c>
      <c r="J222" s="54">
        <v>17</v>
      </c>
      <c r="K222" s="54">
        <v>1</v>
      </c>
      <c r="L222" s="45">
        <v>1</v>
      </c>
    </row>
    <row r="223" spans="1:12" ht="24.75" customHeight="1" x14ac:dyDescent="0.3">
      <c r="A223" s="4" t="s">
        <v>334</v>
      </c>
      <c r="D223" s="56">
        <v>6172</v>
      </c>
      <c r="E223" s="17">
        <v>16.21</v>
      </c>
      <c r="F223" s="57">
        <v>121</v>
      </c>
      <c r="G223" s="2">
        <v>0.13396694214876001</v>
      </c>
      <c r="H223" s="12">
        <v>21</v>
      </c>
      <c r="I223" s="2">
        <v>5.7619047619047601</v>
      </c>
      <c r="J223" s="54">
        <v>21</v>
      </c>
      <c r="K223" s="54">
        <v>1</v>
      </c>
      <c r="L223" s="45">
        <v>1</v>
      </c>
    </row>
    <row r="224" spans="1:12" ht="24.75" customHeight="1" x14ac:dyDescent="0.3">
      <c r="A224" s="2" t="s">
        <v>327</v>
      </c>
      <c r="D224" s="56">
        <v>3511</v>
      </c>
      <c r="E224" s="22">
        <v>22.66</v>
      </c>
      <c r="F224" s="57">
        <v>121</v>
      </c>
      <c r="G224" s="2">
        <v>0.18727272727272701</v>
      </c>
      <c r="H224" s="12">
        <v>31</v>
      </c>
      <c r="I224" s="2">
        <v>3.9032258064516099</v>
      </c>
      <c r="J224" s="54">
        <v>31</v>
      </c>
      <c r="K224" s="54">
        <v>1</v>
      </c>
      <c r="L224" s="45">
        <v>1</v>
      </c>
    </row>
    <row r="225" spans="1:12" ht="24.75" customHeight="1" x14ac:dyDescent="0.3">
      <c r="A225" s="65" t="s">
        <v>323</v>
      </c>
      <c r="D225" s="56">
        <v>785</v>
      </c>
      <c r="E225" s="23">
        <v>27.88</v>
      </c>
      <c r="F225" s="57">
        <v>121</v>
      </c>
      <c r="G225" s="2">
        <v>0.230413223140495</v>
      </c>
      <c r="H225" s="12">
        <v>18</v>
      </c>
      <c r="I225" s="2">
        <v>6.7222222222222197</v>
      </c>
      <c r="J225" s="54">
        <v>8</v>
      </c>
      <c r="K225" s="2">
        <v>0.44444444444444398</v>
      </c>
      <c r="L225" s="49">
        <v>0.44</v>
      </c>
    </row>
    <row r="226" spans="1:12" ht="24.75" customHeight="1" x14ac:dyDescent="0.3">
      <c r="A226" s="66" t="s">
        <v>56</v>
      </c>
      <c r="B226" s="35" t="s">
        <v>261</v>
      </c>
      <c r="C226" s="35"/>
      <c r="D226" s="8">
        <v>95</v>
      </c>
      <c r="E226" s="25">
        <v>30.11</v>
      </c>
      <c r="F226" s="6">
        <v>121</v>
      </c>
      <c r="G226" s="2">
        <f>30.11/121</f>
        <v>0.24884297520661156</v>
      </c>
      <c r="H226" s="12">
        <v>25</v>
      </c>
      <c r="I226" s="2">
        <f>121/25</f>
        <v>4.84</v>
      </c>
      <c r="J226" s="2">
        <v>8</v>
      </c>
      <c r="K226" s="2">
        <f>8/25</f>
        <v>0.32</v>
      </c>
      <c r="L226" s="49">
        <v>0.32</v>
      </c>
    </row>
    <row r="227" spans="1:12" ht="24.75" customHeight="1" x14ac:dyDescent="0.3">
      <c r="A227" s="2" t="s">
        <v>321</v>
      </c>
      <c r="D227" s="56">
        <v>88</v>
      </c>
      <c r="E227" s="28">
        <v>40.32</v>
      </c>
      <c r="F227" s="57">
        <v>121</v>
      </c>
      <c r="G227" s="2">
        <v>0.33322314049586699</v>
      </c>
      <c r="H227" s="12">
        <v>27</v>
      </c>
      <c r="I227" s="2">
        <v>4.4814814814814801</v>
      </c>
      <c r="J227" s="54">
        <v>17</v>
      </c>
      <c r="K227" s="2">
        <v>0.62962962962962898</v>
      </c>
      <c r="L227" s="49">
        <v>0.63</v>
      </c>
    </row>
    <row r="228" spans="1:12" ht="24.75" customHeight="1" x14ac:dyDescent="0.3">
      <c r="A228" s="54" t="s">
        <v>319</v>
      </c>
      <c r="B228" s="34" t="s">
        <v>245</v>
      </c>
      <c r="C228" s="34" t="s">
        <v>320</v>
      </c>
      <c r="D228" s="31">
        <v>1420</v>
      </c>
      <c r="E228" s="23">
        <v>25.38</v>
      </c>
      <c r="F228" s="5">
        <v>120</v>
      </c>
      <c r="G228" s="2">
        <f>25.38/120</f>
        <v>0.21149999999999999</v>
      </c>
      <c r="H228" s="12">
        <v>58</v>
      </c>
      <c r="I228" s="2">
        <f>120/58</f>
        <v>2.0689655172413794</v>
      </c>
      <c r="J228" s="54">
        <v>3</v>
      </c>
      <c r="K228" s="2">
        <f>3/58</f>
        <v>5.1724137931034482E-2</v>
      </c>
      <c r="L228" s="55">
        <v>5.0000000000000001E-3</v>
      </c>
    </row>
    <row r="229" spans="1:12" ht="24.75" customHeight="1" x14ac:dyDescent="0.3">
      <c r="A229" s="2" t="s">
        <v>322</v>
      </c>
      <c r="D229" s="56">
        <v>252</v>
      </c>
      <c r="E229" s="27">
        <v>33.92</v>
      </c>
      <c r="F229" s="57">
        <v>120</v>
      </c>
      <c r="G229" s="2">
        <v>0.28266666666666601</v>
      </c>
      <c r="H229" s="12">
        <v>17</v>
      </c>
      <c r="I229" s="2">
        <v>7.0588235294117601</v>
      </c>
      <c r="J229" s="2">
        <v>14</v>
      </c>
      <c r="K229" s="2">
        <v>0.82352941176470495</v>
      </c>
      <c r="L229" s="49">
        <v>0.82</v>
      </c>
    </row>
    <row r="230" spans="1:12" ht="24.75" customHeight="1" x14ac:dyDescent="0.3">
      <c r="A230" s="4" t="s">
        <v>362</v>
      </c>
      <c r="D230" s="56">
        <v>1254</v>
      </c>
      <c r="E230" s="17">
        <v>15.8</v>
      </c>
      <c r="F230" s="57">
        <v>119</v>
      </c>
      <c r="G230" s="2">
        <v>0.13277310924369701</v>
      </c>
      <c r="H230" s="12">
        <v>20</v>
      </c>
      <c r="I230" s="2"/>
      <c r="J230" s="54">
        <v>15</v>
      </c>
      <c r="K230" s="54">
        <v>0.75</v>
      </c>
      <c r="L230" s="49">
        <v>0.75</v>
      </c>
    </row>
    <row r="231" spans="1:12" ht="24.75" customHeight="1" x14ac:dyDescent="0.3">
      <c r="A231" s="4" t="s">
        <v>363</v>
      </c>
      <c r="D231" s="56">
        <v>1228</v>
      </c>
      <c r="E231" s="14">
        <v>14.95</v>
      </c>
      <c r="F231" s="57">
        <v>118</v>
      </c>
      <c r="G231" s="2">
        <v>0.12669491525423701</v>
      </c>
      <c r="H231" s="12">
        <v>25</v>
      </c>
      <c r="I231" s="2">
        <v>4.72</v>
      </c>
      <c r="J231" s="54">
        <v>16</v>
      </c>
      <c r="K231" s="2">
        <v>0.64</v>
      </c>
      <c r="L231" s="49">
        <v>0.64</v>
      </c>
    </row>
    <row r="232" spans="1:12" ht="24.75" customHeight="1" x14ac:dyDescent="0.3">
      <c r="A232" s="2" t="s">
        <v>391</v>
      </c>
      <c r="D232" s="56">
        <v>4083</v>
      </c>
      <c r="E232" s="17">
        <v>16.850000000000001</v>
      </c>
      <c r="F232" s="57">
        <v>118</v>
      </c>
      <c r="G232" s="2">
        <v>0.142796610169491</v>
      </c>
      <c r="H232" s="12">
        <v>14</v>
      </c>
      <c r="I232" s="2">
        <v>8.4285714285714199</v>
      </c>
      <c r="J232" s="54">
        <v>14</v>
      </c>
      <c r="K232" s="2">
        <v>1</v>
      </c>
      <c r="L232" s="45">
        <v>1</v>
      </c>
    </row>
    <row r="233" spans="1:12" ht="24.75" customHeight="1" x14ac:dyDescent="0.3">
      <c r="A233" s="2" t="s">
        <v>416</v>
      </c>
      <c r="D233" s="56">
        <v>1805</v>
      </c>
      <c r="E233" s="22">
        <v>24.06</v>
      </c>
      <c r="F233" s="57">
        <v>118</v>
      </c>
      <c r="G233" s="2">
        <v>0.20389830508474499</v>
      </c>
      <c r="H233" s="12">
        <v>18</v>
      </c>
      <c r="I233" s="2"/>
      <c r="J233" s="54">
        <v>18</v>
      </c>
      <c r="K233" s="2">
        <v>1</v>
      </c>
      <c r="L233" s="45">
        <v>1</v>
      </c>
    </row>
    <row r="234" spans="1:12" ht="24.75" customHeight="1" x14ac:dyDescent="0.3">
      <c r="A234" s="2" t="s">
        <v>386</v>
      </c>
      <c r="D234" s="56">
        <v>5324</v>
      </c>
      <c r="E234" s="22">
        <v>24.08</v>
      </c>
      <c r="F234" s="57">
        <v>118</v>
      </c>
      <c r="G234" s="2">
        <v>0.20406779661016899</v>
      </c>
      <c r="H234" s="12">
        <v>37</v>
      </c>
      <c r="I234" s="2"/>
      <c r="J234" s="54">
        <v>37</v>
      </c>
      <c r="K234" s="2">
        <v>1</v>
      </c>
      <c r="L234" s="45">
        <v>1</v>
      </c>
    </row>
    <row r="235" spans="1:12" ht="24.75" customHeight="1" x14ac:dyDescent="0.3">
      <c r="A235" s="2" t="s">
        <v>392</v>
      </c>
      <c r="D235" s="56">
        <v>4052</v>
      </c>
      <c r="E235" s="23">
        <v>26.06</v>
      </c>
      <c r="F235" s="57">
        <v>118</v>
      </c>
      <c r="G235" s="2">
        <v>0.22084745762711799</v>
      </c>
      <c r="H235" s="12">
        <v>13</v>
      </c>
      <c r="I235" s="2"/>
      <c r="J235" s="54">
        <v>12</v>
      </c>
      <c r="K235" s="2">
        <v>0.92307692307692302</v>
      </c>
      <c r="L235" s="45">
        <v>0.92</v>
      </c>
    </row>
    <row r="236" spans="1:12" ht="24.75" customHeight="1" x14ac:dyDescent="0.3">
      <c r="A236" s="4" t="s">
        <v>337</v>
      </c>
      <c r="D236" s="56">
        <v>484</v>
      </c>
      <c r="E236" s="23">
        <v>28.65</v>
      </c>
      <c r="F236" s="57">
        <v>118</v>
      </c>
      <c r="G236" s="2">
        <v>0.242542372881355</v>
      </c>
      <c r="H236" s="12">
        <v>29</v>
      </c>
      <c r="I236" s="2"/>
      <c r="J236" s="54">
        <v>6</v>
      </c>
      <c r="K236" s="2">
        <v>0.20689655172413701</v>
      </c>
      <c r="L236" s="49">
        <v>0.21</v>
      </c>
    </row>
    <row r="237" spans="1:12" ht="24.75" customHeight="1" x14ac:dyDescent="0.3">
      <c r="A237" s="4" t="s">
        <v>368</v>
      </c>
      <c r="D237" s="56">
        <v>1394</v>
      </c>
      <c r="E237" s="28">
        <v>37.880000000000003</v>
      </c>
      <c r="F237" s="57">
        <v>118</v>
      </c>
      <c r="G237" s="2">
        <v>0.32101694915254197</v>
      </c>
      <c r="H237" s="12">
        <v>23</v>
      </c>
      <c r="I237" s="2"/>
      <c r="J237" s="54">
        <v>4</v>
      </c>
      <c r="K237" s="2">
        <v>0.17391304347826</v>
      </c>
      <c r="L237" s="49">
        <v>0.17</v>
      </c>
    </row>
    <row r="238" spans="1:12" ht="24.75" customHeight="1" x14ac:dyDescent="0.3">
      <c r="A238" s="4" t="s">
        <v>412</v>
      </c>
      <c r="D238" s="56">
        <v>2091</v>
      </c>
      <c r="E238" s="17">
        <v>16.28</v>
      </c>
      <c r="F238" s="57">
        <v>117</v>
      </c>
      <c r="G238" s="2">
        <v>0.139145299145299</v>
      </c>
      <c r="H238" s="12">
        <v>23</v>
      </c>
      <c r="I238" s="2">
        <v>5.0869565217391299</v>
      </c>
      <c r="J238" s="54">
        <v>9</v>
      </c>
      <c r="K238" s="2">
        <v>0.39130434782608697</v>
      </c>
      <c r="L238" s="49">
        <v>0.39</v>
      </c>
    </row>
    <row r="239" spans="1:12" ht="24.75" customHeight="1" x14ac:dyDescent="0.3">
      <c r="A239" s="4" t="s">
        <v>364</v>
      </c>
      <c r="D239" s="56">
        <v>1226</v>
      </c>
      <c r="E239" s="17">
        <v>18.079999999999998</v>
      </c>
      <c r="F239" s="57">
        <v>117</v>
      </c>
      <c r="G239" s="2">
        <v>0.15452991452991399</v>
      </c>
      <c r="H239" s="12">
        <v>15</v>
      </c>
      <c r="I239" s="2"/>
      <c r="J239" s="54">
        <v>9</v>
      </c>
      <c r="K239" s="2">
        <v>0.6</v>
      </c>
      <c r="L239" s="49">
        <v>0.6</v>
      </c>
    </row>
    <row r="240" spans="1:12" ht="24.75" customHeight="1" x14ac:dyDescent="0.3">
      <c r="A240" s="2" t="s">
        <v>382</v>
      </c>
      <c r="D240" s="56">
        <v>9285</v>
      </c>
      <c r="E240" s="17">
        <v>17.02</v>
      </c>
      <c r="F240" s="57">
        <v>116</v>
      </c>
      <c r="G240" s="2">
        <v>0.146724137931034</v>
      </c>
      <c r="H240" s="12">
        <v>22</v>
      </c>
      <c r="I240" s="2"/>
      <c r="J240" s="54">
        <v>8</v>
      </c>
      <c r="K240" s="2">
        <v>0.36363636363636298</v>
      </c>
      <c r="L240" s="49">
        <v>0.36</v>
      </c>
    </row>
    <row r="241" spans="1:12" ht="24.75" customHeight="1" x14ac:dyDescent="0.3">
      <c r="A241" s="4" t="s">
        <v>335</v>
      </c>
      <c r="D241" s="56">
        <v>410</v>
      </c>
      <c r="E241" s="17">
        <v>19.75</v>
      </c>
      <c r="F241" s="57">
        <v>116</v>
      </c>
      <c r="G241" s="2">
        <v>0.170258620689655</v>
      </c>
      <c r="H241" s="12">
        <v>13</v>
      </c>
      <c r="I241" s="2"/>
      <c r="J241" s="54">
        <v>13</v>
      </c>
      <c r="K241" s="54">
        <v>1</v>
      </c>
      <c r="L241" s="45">
        <v>1</v>
      </c>
    </row>
    <row r="242" spans="1:12" ht="24.75" customHeight="1" x14ac:dyDescent="0.3">
      <c r="A242" s="4" t="s">
        <v>338</v>
      </c>
      <c r="D242" s="56">
        <v>491</v>
      </c>
      <c r="E242" s="22">
        <v>23.34</v>
      </c>
      <c r="F242" s="57">
        <v>116</v>
      </c>
      <c r="G242" s="2">
        <v>0.201206896551724</v>
      </c>
      <c r="H242" s="12">
        <v>12</v>
      </c>
      <c r="I242" s="2"/>
      <c r="J242" s="54">
        <v>12</v>
      </c>
      <c r="K242" s="54">
        <v>1</v>
      </c>
      <c r="L242" s="45">
        <v>1</v>
      </c>
    </row>
    <row r="243" spans="1:12" ht="24.75" customHeight="1" x14ac:dyDescent="0.3">
      <c r="A243" s="58" t="s">
        <v>346</v>
      </c>
      <c r="D243" s="56">
        <v>887</v>
      </c>
      <c r="E243" s="27">
        <v>31.2</v>
      </c>
      <c r="F243" s="57">
        <v>116</v>
      </c>
      <c r="G243" s="2">
        <v>0.26896551724137902</v>
      </c>
      <c r="H243" s="12">
        <v>33</v>
      </c>
      <c r="I243" s="2"/>
      <c r="J243" s="54">
        <v>4</v>
      </c>
      <c r="K243" s="2">
        <v>0.12121212121212099</v>
      </c>
      <c r="L243" s="63">
        <v>0.12</v>
      </c>
    </row>
    <row r="244" spans="1:12" ht="24.75" customHeight="1" x14ac:dyDescent="0.3">
      <c r="A244" s="4" t="s">
        <v>345</v>
      </c>
      <c r="D244" s="56">
        <v>466</v>
      </c>
      <c r="E244" s="14">
        <v>14.83</v>
      </c>
      <c r="F244" s="57">
        <v>115</v>
      </c>
      <c r="G244" s="2">
        <v>0.12895652173913</v>
      </c>
      <c r="H244" s="12">
        <v>28</v>
      </c>
      <c r="J244" s="54">
        <v>28</v>
      </c>
      <c r="K244" s="2">
        <v>1</v>
      </c>
      <c r="L244" s="45">
        <v>1</v>
      </c>
    </row>
    <row r="245" spans="1:12" ht="24.75" customHeight="1" x14ac:dyDescent="0.3">
      <c r="A245" s="4" t="s">
        <v>339</v>
      </c>
      <c r="D245" s="56">
        <v>37</v>
      </c>
      <c r="E245" s="23">
        <v>26.88</v>
      </c>
      <c r="F245" s="57">
        <v>115</v>
      </c>
      <c r="G245" s="2">
        <v>0.23373913043478201</v>
      </c>
      <c r="H245" s="12">
        <v>21</v>
      </c>
      <c r="J245" s="54">
        <v>5</v>
      </c>
      <c r="K245" s="2">
        <v>0.238095238095238</v>
      </c>
      <c r="L245" s="49">
        <v>0.24</v>
      </c>
    </row>
    <row r="246" spans="1:12" ht="24.75" customHeight="1" x14ac:dyDescent="0.3">
      <c r="A246" s="58" t="s">
        <v>336</v>
      </c>
      <c r="D246" s="56">
        <v>422</v>
      </c>
      <c r="E246" s="27">
        <v>31.93</v>
      </c>
      <c r="F246" s="57">
        <v>115</v>
      </c>
      <c r="G246" s="2">
        <v>0.27765217391304298</v>
      </c>
      <c r="H246" s="12">
        <v>23</v>
      </c>
      <c r="J246" s="54">
        <v>12</v>
      </c>
      <c r="K246" s="2">
        <v>0.52173913043478204</v>
      </c>
      <c r="L246" s="49">
        <v>0.52</v>
      </c>
    </row>
    <row r="247" spans="1:12" ht="24.75" customHeight="1" x14ac:dyDescent="0.3">
      <c r="A247" s="59" t="s">
        <v>404</v>
      </c>
      <c r="D247" s="56">
        <v>3026</v>
      </c>
      <c r="E247" s="22">
        <v>24.55</v>
      </c>
      <c r="F247" s="57">
        <v>114</v>
      </c>
      <c r="G247" s="2">
        <v>0.21535087719298199</v>
      </c>
      <c r="H247" s="12">
        <v>23</v>
      </c>
      <c r="J247" s="2">
        <v>23</v>
      </c>
      <c r="K247" s="2">
        <v>1</v>
      </c>
      <c r="L247" s="45">
        <v>1</v>
      </c>
    </row>
    <row r="248" spans="1:12" ht="24.75" customHeight="1" x14ac:dyDescent="0.3">
      <c r="A248" s="4" t="s">
        <v>344</v>
      </c>
      <c r="D248" s="56">
        <v>793</v>
      </c>
      <c r="E248" s="28">
        <v>35.85</v>
      </c>
      <c r="F248" s="57">
        <v>114</v>
      </c>
      <c r="G248" s="2">
        <v>0.31447368421052602</v>
      </c>
      <c r="H248" s="12">
        <v>10</v>
      </c>
      <c r="J248" s="54">
        <v>5</v>
      </c>
      <c r="K248" s="54">
        <v>0.5</v>
      </c>
      <c r="L248" s="49">
        <v>0.5</v>
      </c>
    </row>
    <row r="249" spans="1:12" ht="24.75" customHeight="1" x14ac:dyDescent="0.3">
      <c r="A249" s="4" t="s">
        <v>409</v>
      </c>
      <c r="D249" s="56">
        <v>2328</v>
      </c>
      <c r="E249" s="14">
        <v>14.55</v>
      </c>
      <c r="F249" s="57">
        <v>113</v>
      </c>
      <c r="G249" s="2">
        <v>0.12876106194690201</v>
      </c>
      <c r="H249" s="12">
        <v>19</v>
      </c>
      <c r="J249" s="54">
        <v>14</v>
      </c>
      <c r="K249" s="2">
        <v>0.73684210526315697</v>
      </c>
      <c r="L249" s="49">
        <v>0.74</v>
      </c>
    </row>
    <row r="250" spans="1:12" ht="24.75" customHeight="1" x14ac:dyDescent="0.3">
      <c r="A250" s="4" t="s">
        <v>410</v>
      </c>
      <c r="D250" s="56">
        <v>2151</v>
      </c>
      <c r="E250" s="17">
        <v>15.25</v>
      </c>
      <c r="F250" s="57">
        <v>113</v>
      </c>
      <c r="G250" s="2">
        <v>0.13495575221238901</v>
      </c>
      <c r="H250" s="12">
        <v>16</v>
      </c>
      <c r="I250" s="2">
        <v>7.0625</v>
      </c>
      <c r="J250" s="2">
        <v>11</v>
      </c>
      <c r="K250" s="2">
        <v>0.6875</v>
      </c>
      <c r="L250" s="49">
        <v>0.69</v>
      </c>
    </row>
    <row r="251" spans="1:12" ht="24.75" customHeight="1" x14ac:dyDescent="0.3">
      <c r="A251" s="59" t="s">
        <v>388</v>
      </c>
      <c r="D251" s="56">
        <v>4570</v>
      </c>
      <c r="E251" s="17">
        <v>15.58</v>
      </c>
      <c r="F251" s="57">
        <v>113</v>
      </c>
      <c r="G251" s="2">
        <v>0.13787610619469001</v>
      </c>
      <c r="H251" s="12">
        <v>24</v>
      </c>
      <c r="J251" s="54">
        <v>24</v>
      </c>
      <c r="K251" s="54">
        <v>1</v>
      </c>
      <c r="L251" s="45">
        <v>1</v>
      </c>
    </row>
    <row r="252" spans="1:12" ht="24.75" customHeight="1" x14ac:dyDescent="0.3">
      <c r="A252" s="58" t="s">
        <v>415</v>
      </c>
      <c r="D252" s="56">
        <v>1873</v>
      </c>
      <c r="E252" s="17">
        <v>17.829999999999998</v>
      </c>
      <c r="F252" s="57">
        <v>113</v>
      </c>
      <c r="G252" s="2">
        <v>0.157787610619469</v>
      </c>
      <c r="H252" s="12">
        <v>12</v>
      </c>
      <c r="J252" s="2">
        <v>11</v>
      </c>
      <c r="K252" s="2">
        <v>0.91666666666666596</v>
      </c>
      <c r="L252" s="45">
        <v>0.92</v>
      </c>
    </row>
    <row r="253" spans="1:12" ht="24.75" customHeight="1" x14ac:dyDescent="0.3">
      <c r="A253" s="2" t="s">
        <v>400</v>
      </c>
      <c r="D253" s="56">
        <v>3659</v>
      </c>
      <c r="E253" s="22">
        <v>22.27</v>
      </c>
      <c r="F253" s="57">
        <v>112</v>
      </c>
      <c r="G253" s="2">
        <v>0.198839285714285</v>
      </c>
      <c r="H253" s="12">
        <v>33</v>
      </c>
      <c r="J253" s="54">
        <v>33</v>
      </c>
      <c r="K253" s="54">
        <v>1</v>
      </c>
      <c r="L253" s="45">
        <v>1</v>
      </c>
    </row>
    <row r="254" spans="1:12" ht="24.75" customHeight="1" x14ac:dyDescent="0.3">
      <c r="A254" s="58" t="s">
        <v>369</v>
      </c>
      <c r="D254" s="56">
        <v>1449</v>
      </c>
      <c r="E254" s="23">
        <v>27.08</v>
      </c>
      <c r="F254" s="57">
        <v>112</v>
      </c>
      <c r="G254" s="2">
        <v>0.24178571428571399</v>
      </c>
      <c r="H254" s="12">
        <v>11</v>
      </c>
      <c r="J254" s="54">
        <v>10</v>
      </c>
      <c r="K254" s="2">
        <v>0.90909090909090895</v>
      </c>
      <c r="L254" s="45">
        <v>0.91</v>
      </c>
    </row>
    <row r="255" spans="1:12" ht="24.75" customHeight="1" x14ac:dyDescent="0.3">
      <c r="A255" s="58" t="s">
        <v>341</v>
      </c>
      <c r="D255" s="56">
        <v>190</v>
      </c>
      <c r="E255" s="28">
        <v>37.020000000000003</v>
      </c>
      <c r="F255" s="57">
        <v>112</v>
      </c>
      <c r="G255" s="2">
        <v>0.33053571428571399</v>
      </c>
      <c r="H255" s="12">
        <v>15</v>
      </c>
      <c r="J255" s="54">
        <v>6</v>
      </c>
      <c r="K255" s="54">
        <v>0.4</v>
      </c>
      <c r="L255" s="62">
        <v>0.4</v>
      </c>
    </row>
    <row r="256" spans="1:12" ht="24.75" customHeight="1" x14ac:dyDescent="0.3">
      <c r="A256" s="58" t="s">
        <v>370</v>
      </c>
      <c r="D256" s="56">
        <v>1336</v>
      </c>
      <c r="E256" s="27">
        <v>31.84</v>
      </c>
      <c r="F256" s="57">
        <v>111</v>
      </c>
      <c r="G256" s="2">
        <v>0.28684684684684603</v>
      </c>
      <c r="H256" s="12">
        <v>8</v>
      </c>
      <c r="J256" s="54">
        <v>8</v>
      </c>
      <c r="K256" s="54">
        <v>1</v>
      </c>
      <c r="L256" s="45">
        <v>1</v>
      </c>
    </row>
    <row r="257" spans="1:12" ht="24.75" customHeight="1" x14ac:dyDescent="0.3">
      <c r="A257" s="59" t="s">
        <v>403</v>
      </c>
      <c r="D257" s="56">
        <v>3072</v>
      </c>
      <c r="E257" s="27">
        <v>33.299999999999997</v>
      </c>
      <c r="F257" s="57">
        <v>111</v>
      </c>
      <c r="G257" s="2">
        <v>0.3</v>
      </c>
      <c r="H257" s="12">
        <v>18</v>
      </c>
      <c r="J257" s="54">
        <v>18</v>
      </c>
      <c r="K257" s="54">
        <v>1</v>
      </c>
      <c r="L257" s="45">
        <v>1</v>
      </c>
    </row>
    <row r="258" spans="1:12" ht="24.75" customHeight="1" x14ac:dyDescent="0.3">
      <c r="A258" s="4" t="s">
        <v>340</v>
      </c>
      <c r="D258" s="56">
        <v>139</v>
      </c>
      <c r="E258" s="28">
        <v>40.75</v>
      </c>
      <c r="F258" s="57">
        <v>111</v>
      </c>
      <c r="G258" s="2">
        <v>0.36711711711711698</v>
      </c>
      <c r="H258" s="12">
        <v>31</v>
      </c>
      <c r="I258" s="2"/>
      <c r="J258" s="2">
        <v>11</v>
      </c>
      <c r="K258" s="2">
        <v>0.35483870967741898</v>
      </c>
      <c r="L258" s="49">
        <v>0.35</v>
      </c>
    </row>
    <row r="259" spans="1:12" ht="24.75" customHeight="1" x14ac:dyDescent="0.3">
      <c r="A259" s="2" t="s">
        <v>402</v>
      </c>
      <c r="D259" s="56">
        <v>3432</v>
      </c>
      <c r="E259" s="14">
        <v>10.79</v>
      </c>
      <c r="F259" s="57">
        <v>110</v>
      </c>
      <c r="G259" s="2">
        <v>9.8090909090909104E-2</v>
      </c>
      <c r="H259" s="12">
        <v>18</v>
      </c>
      <c r="J259" s="54">
        <v>18</v>
      </c>
      <c r="K259" s="54">
        <v>1</v>
      </c>
      <c r="L259" s="45">
        <v>1</v>
      </c>
    </row>
    <row r="260" spans="1:12" ht="24.75" customHeight="1" x14ac:dyDescent="0.3">
      <c r="A260" s="4" t="s">
        <v>413</v>
      </c>
      <c r="D260" s="56">
        <v>2047</v>
      </c>
      <c r="E260" s="14">
        <v>14.15</v>
      </c>
      <c r="F260" s="57">
        <v>110</v>
      </c>
      <c r="G260" s="2">
        <v>0.12863636363636299</v>
      </c>
      <c r="H260" s="12">
        <v>18</v>
      </c>
      <c r="J260" s="54">
        <v>16</v>
      </c>
      <c r="K260" s="2">
        <v>0.88888888888888795</v>
      </c>
      <c r="L260" s="45">
        <v>0.89</v>
      </c>
    </row>
    <row r="261" spans="1:12" ht="24.75" customHeight="1" x14ac:dyDescent="0.3">
      <c r="A261" s="2" t="s">
        <v>389</v>
      </c>
      <c r="D261" s="56">
        <v>4549</v>
      </c>
      <c r="E261" s="17">
        <v>19.03</v>
      </c>
      <c r="F261" s="57">
        <v>110</v>
      </c>
      <c r="G261" s="2">
        <v>0.17299999999999999</v>
      </c>
      <c r="H261" s="12">
        <v>27</v>
      </c>
      <c r="I261" s="2"/>
      <c r="J261" s="54">
        <v>9</v>
      </c>
      <c r="K261" s="2">
        <v>0.33333333333333298</v>
      </c>
      <c r="L261" s="49">
        <v>0.33</v>
      </c>
    </row>
    <row r="262" spans="1:12" ht="24.75" customHeight="1" x14ac:dyDescent="0.3">
      <c r="A262" s="58" t="s">
        <v>365</v>
      </c>
      <c r="D262" s="56">
        <v>1117</v>
      </c>
      <c r="E262" s="17">
        <v>19.350000000000001</v>
      </c>
      <c r="F262" s="57">
        <v>110</v>
      </c>
      <c r="G262" s="2">
        <v>0.17590909090908999</v>
      </c>
      <c r="H262" s="12">
        <v>12</v>
      </c>
      <c r="J262" s="54">
        <v>11</v>
      </c>
      <c r="K262" s="2">
        <v>0.91666666666666596</v>
      </c>
      <c r="L262" s="45">
        <v>0.92</v>
      </c>
    </row>
    <row r="263" spans="1:12" ht="24.75" customHeight="1" x14ac:dyDescent="0.3">
      <c r="A263" s="4" t="s">
        <v>366</v>
      </c>
      <c r="D263" s="56">
        <v>1124</v>
      </c>
      <c r="E263" s="27">
        <v>33.53</v>
      </c>
      <c r="F263" s="57">
        <v>110</v>
      </c>
      <c r="G263" s="2">
        <v>0.30481818181818099</v>
      </c>
      <c r="H263" s="12">
        <v>13</v>
      </c>
      <c r="J263" s="54">
        <v>11</v>
      </c>
      <c r="K263" s="2">
        <v>0.84615384615384603</v>
      </c>
      <c r="L263" s="49">
        <v>0.85</v>
      </c>
    </row>
    <row r="264" spans="1:12" ht="24.75" customHeight="1" x14ac:dyDescent="0.3">
      <c r="A264" s="58" t="s">
        <v>414</v>
      </c>
      <c r="D264" s="56">
        <v>2044</v>
      </c>
      <c r="E264" s="14">
        <v>11.38</v>
      </c>
      <c r="F264" s="57">
        <v>109</v>
      </c>
      <c r="G264" s="2">
        <v>0.10440366972477</v>
      </c>
      <c r="H264" s="12">
        <v>33</v>
      </c>
      <c r="J264" s="54">
        <v>33</v>
      </c>
      <c r="K264" s="54">
        <v>1</v>
      </c>
      <c r="L264" s="45">
        <v>1</v>
      </c>
    </row>
    <row r="265" spans="1:12" ht="24.75" customHeight="1" x14ac:dyDescent="0.3">
      <c r="A265" s="58" t="s">
        <v>371</v>
      </c>
      <c r="D265" s="56">
        <v>1841</v>
      </c>
      <c r="E265" s="17">
        <v>16.68</v>
      </c>
      <c r="F265" s="57">
        <v>109</v>
      </c>
      <c r="G265" s="2">
        <v>0.15302752293577901</v>
      </c>
      <c r="H265" s="12">
        <v>20</v>
      </c>
      <c r="I265" s="2"/>
      <c r="J265" s="54">
        <v>20</v>
      </c>
      <c r="K265" s="54">
        <v>1</v>
      </c>
      <c r="L265" s="45">
        <v>1</v>
      </c>
    </row>
    <row r="266" spans="1:12" ht="24.75" customHeight="1" x14ac:dyDescent="0.3">
      <c r="A266" s="59" t="s">
        <v>396</v>
      </c>
      <c r="D266" s="56">
        <v>3838</v>
      </c>
      <c r="E266" s="17">
        <v>17.79</v>
      </c>
      <c r="F266" s="57">
        <v>109</v>
      </c>
      <c r="G266" s="2">
        <v>0.163211009174311</v>
      </c>
      <c r="H266" s="12">
        <v>28</v>
      </c>
      <c r="J266" s="54">
        <v>28</v>
      </c>
      <c r="K266" s="54">
        <v>1</v>
      </c>
      <c r="L266" s="45">
        <v>1</v>
      </c>
    </row>
    <row r="267" spans="1:12" ht="24.75" customHeight="1" x14ac:dyDescent="0.3">
      <c r="A267" s="4" t="s">
        <v>390</v>
      </c>
      <c r="D267" s="56">
        <v>4266</v>
      </c>
      <c r="E267" s="17">
        <v>17.87</v>
      </c>
      <c r="F267" s="57">
        <v>109</v>
      </c>
      <c r="G267" s="2">
        <v>0.16394495412844001</v>
      </c>
      <c r="H267" s="12">
        <v>16</v>
      </c>
      <c r="J267" s="54">
        <v>15</v>
      </c>
      <c r="K267" s="2">
        <v>0.9375</v>
      </c>
      <c r="L267" s="45">
        <v>0.94</v>
      </c>
    </row>
    <row r="268" spans="1:12" ht="24.75" customHeight="1" x14ac:dyDescent="0.3">
      <c r="A268" s="58" t="s">
        <v>372</v>
      </c>
      <c r="D268" s="56">
        <v>1982</v>
      </c>
      <c r="E268" s="17">
        <v>18.16</v>
      </c>
      <c r="F268" s="57">
        <v>109</v>
      </c>
      <c r="G268" s="2">
        <v>0.16660550458715601</v>
      </c>
      <c r="H268" s="12">
        <v>24</v>
      </c>
      <c r="I268" s="2"/>
      <c r="J268" s="54">
        <v>11</v>
      </c>
      <c r="K268" s="2">
        <v>0.45833333333333298</v>
      </c>
      <c r="L268" s="49">
        <v>0.46</v>
      </c>
    </row>
    <row r="269" spans="1:12" ht="24.75" customHeight="1" x14ac:dyDescent="0.3">
      <c r="A269" s="58" t="s">
        <v>356</v>
      </c>
      <c r="D269" s="56">
        <v>815</v>
      </c>
      <c r="E269" s="23">
        <v>25.14</v>
      </c>
      <c r="F269" s="57">
        <v>109</v>
      </c>
      <c r="G269" s="2">
        <v>0.230642201834862</v>
      </c>
      <c r="H269" s="12">
        <v>16</v>
      </c>
      <c r="I269" s="2"/>
      <c r="J269" s="54">
        <v>9</v>
      </c>
      <c r="K269" s="2">
        <v>0.5625</v>
      </c>
      <c r="L269" s="49">
        <v>0.56000000000000005</v>
      </c>
    </row>
    <row r="270" spans="1:12" ht="24.75" customHeight="1" x14ac:dyDescent="0.3">
      <c r="A270" s="59" t="s">
        <v>393</v>
      </c>
      <c r="D270" s="56">
        <v>3998</v>
      </c>
      <c r="E270" s="23">
        <v>29.83</v>
      </c>
      <c r="F270" s="57">
        <v>109</v>
      </c>
      <c r="G270" s="2">
        <v>0.273669724770642</v>
      </c>
      <c r="H270" s="12">
        <v>35</v>
      </c>
      <c r="J270" s="54">
        <v>6</v>
      </c>
      <c r="K270" s="2">
        <v>0.17142857142857101</v>
      </c>
      <c r="L270" s="49">
        <v>0.17</v>
      </c>
    </row>
    <row r="271" spans="1:12" ht="24.75" customHeight="1" x14ac:dyDescent="0.3">
      <c r="A271" s="59" t="s">
        <v>379</v>
      </c>
      <c r="D271" s="56">
        <v>11520</v>
      </c>
      <c r="E271" s="14">
        <v>13.95</v>
      </c>
      <c r="F271" s="57">
        <v>108</v>
      </c>
      <c r="G271" s="2">
        <v>0.12916666666666601</v>
      </c>
      <c r="H271" s="12">
        <v>34</v>
      </c>
      <c r="J271" s="54">
        <v>33</v>
      </c>
      <c r="K271" s="2">
        <v>0.97058823529411697</v>
      </c>
      <c r="L271" s="45">
        <v>0.97</v>
      </c>
    </row>
    <row r="272" spans="1:12" ht="24.75" customHeight="1" x14ac:dyDescent="0.3">
      <c r="A272" s="2" t="s">
        <v>401</v>
      </c>
      <c r="D272" s="56">
        <v>3598</v>
      </c>
      <c r="E272" s="17">
        <v>16.91</v>
      </c>
      <c r="F272" s="57">
        <v>108</v>
      </c>
      <c r="G272" s="2">
        <v>0.156574074074074</v>
      </c>
      <c r="H272" s="12">
        <v>16</v>
      </c>
      <c r="J272" s="54">
        <v>16</v>
      </c>
      <c r="K272" s="54">
        <v>1</v>
      </c>
      <c r="L272" s="45">
        <v>1</v>
      </c>
    </row>
    <row r="273" spans="1:12" ht="24.75" customHeight="1" x14ac:dyDescent="0.3">
      <c r="A273" s="4" t="s">
        <v>373</v>
      </c>
      <c r="D273" s="56">
        <v>1974</v>
      </c>
      <c r="E273" s="17">
        <v>17.579999999999998</v>
      </c>
      <c r="F273" s="57">
        <v>108</v>
      </c>
      <c r="G273" s="2">
        <v>0.16277777777777699</v>
      </c>
      <c r="H273" s="12">
        <v>12</v>
      </c>
      <c r="J273" s="54">
        <v>10</v>
      </c>
      <c r="K273" s="2">
        <v>0.83333333333333304</v>
      </c>
      <c r="L273" s="49">
        <v>0.83</v>
      </c>
    </row>
    <row r="274" spans="1:12" ht="24.75" customHeight="1" x14ac:dyDescent="0.3">
      <c r="A274" s="2" t="s">
        <v>405</v>
      </c>
      <c r="D274" s="56">
        <v>2978</v>
      </c>
      <c r="E274" s="28">
        <v>36.21</v>
      </c>
      <c r="F274" s="57">
        <v>108</v>
      </c>
      <c r="G274" s="2">
        <v>0.33527777777777701</v>
      </c>
      <c r="H274" s="12">
        <v>15</v>
      </c>
      <c r="J274" s="54">
        <v>15</v>
      </c>
      <c r="K274" s="54">
        <v>1</v>
      </c>
      <c r="L274" s="45">
        <v>1</v>
      </c>
    </row>
    <row r="275" spans="1:12" ht="24.75" customHeight="1" x14ac:dyDescent="0.3">
      <c r="A275" s="4" t="s">
        <v>343</v>
      </c>
      <c r="D275" s="56">
        <v>48</v>
      </c>
      <c r="E275" s="22">
        <v>20.88</v>
      </c>
      <c r="F275" s="57">
        <v>107</v>
      </c>
      <c r="G275" s="2">
        <v>0.195140186915887</v>
      </c>
      <c r="H275" s="12">
        <v>30</v>
      </c>
      <c r="J275" s="54">
        <v>30</v>
      </c>
      <c r="K275" s="54">
        <v>1</v>
      </c>
      <c r="L275" s="45">
        <v>1</v>
      </c>
    </row>
    <row r="276" spans="1:12" ht="24.75" customHeight="1" x14ac:dyDescent="0.3">
      <c r="A276" s="4" t="s">
        <v>357</v>
      </c>
      <c r="D276" s="56">
        <v>847</v>
      </c>
      <c r="E276" s="27">
        <v>33.700000000000003</v>
      </c>
      <c r="F276" s="57">
        <v>107</v>
      </c>
      <c r="G276" s="2">
        <v>0.314953271028037</v>
      </c>
      <c r="H276" s="12">
        <v>19</v>
      </c>
      <c r="J276" s="54">
        <v>11</v>
      </c>
      <c r="K276" s="2">
        <v>0.57894736842105199</v>
      </c>
      <c r="L276" s="49">
        <v>0.57999999999999996</v>
      </c>
    </row>
    <row r="277" spans="1:12" ht="24.75" customHeight="1" x14ac:dyDescent="0.3">
      <c r="A277" s="58" t="s">
        <v>394</v>
      </c>
      <c r="D277" s="56">
        <v>3931</v>
      </c>
      <c r="E277" s="28">
        <v>35.14</v>
      </c>
      <c r="F277" s="57">
        <v>107</v>
      </c>
      <c r="G277" s="2">
        <v>0.32841121495327102</v>
      </c>
      <c r="H277" s="12">
        <v>4</v>
      </c>
      <c r="J277" s="54">
        <v>4</v>
      </c>
      <c r="K277" s="54">
        <v>1</v>
      </c>
      <c r="L277" s="45">
        <v>1</v>
      </c>
    </row>
    <row r="278" spans="1:12" ht="24.75" customHeight="1" x14ac:dyDescent="0.3">
      <c r="A278" s="58" t="s">
        <v>367</v>
      </c>
      <c r="D278" s="56">
        <v>1077</v>
      </c>
      <c r="E278" s="28">
        <v>36.06</v>
      </c>
      <c r="F278" s="57">
        <v>107</v>
      </c>
      <c r="G278" s="2">
        <v>0.33700934579439201</v>
      </c>
      <c r="H278" s="12">
        <v>25</v>
      </c>
      <c r="J278" s="54">
        <v>3</v>
      </c>
      <c r="K278" s="2">
        <v>0.12</v>
      </c>
      <c r="L278" s="50">
        <v>0.12</v>
      </c>
    </row>
    <row r="279" spans="1:12" ht="24.75" customHeight="1" x14ac:dyDescent="0.3">
      <c r="A279" s="2" t="s">
        <v>384</v>
      </c>
      <c r="D279" s="56">
        <v>5808</v>
      </c>
      <c r="E279" s="14">
        <v>12.74</v>
      </c>
      <c r="F279" s="57">
        <v>106</v>
      </c>
      <c r="G279" s="2">
        <v>0.12018867924528299</v>
      </c>
      <c r="H279" s="12">
        <v>17</v>
      </c>
      <c r="J279" s="54">
        <v>17</v>
      </c>
      <c r="K279" s="54">
        <v>1</v>
      </c>
      <c r="L279" s="45">
        <v>1</v>
      </c>
    </row>
    <row r="280" spans="1:12" ht="24.75" customHeight="1" x14ac:dyDescent="0.3">
      <c r="A280" s="59" t="s">
        <v>398</v>
      </c>
      <c r="D280" s="56">
        <v>3761</v>
      </c>
      <c r="E280" s="17">
        <v>15.45</v>
      </c>
      <c r="F280" s="57">
        <v>106</v>
      </c>
      <c r="G280" s="2">
        <v>0.14575471698113199</v>
      </c>
      <c r="H280" s="12">
        <v>21</v>
      </c>
      <c r="J280" s="54">
        <v>21</v>
      </c>
      <c r="K280" s="54">
        <v>1</v>
      </c>
      <c r="L280" s="45">
        <v>1</v>
      </c>
    </row>
    <row r="281" spans="1:12" ht="24.75" customHeight="1" x14ac:dyDescent="0.3">
      <c r="A281" s="58" t="s">
        <v>408</v>
      </c>
      <c r="D281" s="56">
        <v>2481</v>
      </c>
      <c r="E281" s="22">
        <v>23.45</v>
      </c>
      <c r="F281" s="57">
        <v>106</v>
      </c>
      <c r="G281" s="2">
        <v>0.22122641509433899</v>
      </c>
      <c r="H281" s="12">
        <v>13</v>
      </c>
      <c r="J281" s="54">
        <v>13</v>
      </c>
      <c r="K281" s="54">
        <v>1</v>
      </c>
      <c r="L281" s="45">
        <v>1</v>
      </c>
    </row>
    <row r="282" spans="1:12" ht="24.75" customHeight="1" x14ac:dyDescent="0.3">
      <c r="A282" s="4" t="s">
        <v>358</v>
      </c>
      <c r="D282" s="56">
        <v>947</v>
      </c>
      <c r="E282" s="27">
        <v>31.25</v>
      </c>
      <c r="F282" s="57">
        <v>106</v>
      </c>
      <c r="G282" s="2">
        <v>0.294811320754717</v>
      </c>
      <c r="H282" s="12">
        <v>6</v>
      </c>
      <c r="J282" s="54">
        <v>4</v>
      </c>
      <c r="K282" s="2">
        <v>0.66666666666666596</v>
      </c>
      <c r="L282" s="49">
        <v>0.67</v>
      </c>
    </row>
    <row r="283" spans="1:12" ht="24.75" customHeight="1" x14ac:dyDescent="0.3">
      <c r="A283" s="58" t="s">
        <v>342</v>
      </c>
      <c r="D283" s="56">
        <v>171</v>
      </c>
      <c r="E283" s="27">
        <v>32.090000000000003</v>
      </c>
      <c r="F283" s="57">
        <v>106</v>
      </c>
      <c r="G283" s="2">
        <v>0.302735849056603</v>
      </c>
      <c r="H283" s="12">
        <v>20</v>
      </c>
      <c r="J283" s="54">
        <v>4</v>
      </c>
      <c r="K283" s="2">
        <v>0.2</v>
      </c>
      <c r="L283" s="49">
        <v>0.2</v>
      </c>
    </row>
    <row r="284" spans="1:12" ht="24.75" customHeight="1" x14ac:dyDescent="0.3">
      <c r="A284" s="59" t="s">
        <v>411</v>
      </c>
      <c r="D284" s="56">
        <v>2104</v>
      </c>
      <c r="E284" s="17">
        <v>15.9</v>
      </c>
      <c r="F284" s="57">
        <v>105</v>
      </c>
      <c r="G284" s="2">
        <v>0.151428571428571</v>
      </c>
      <c r="H284" s="12">
        <v>21</v>
      </c>
      <c r="I284" s="2">
        <v>5</v>
      </c>
      <c r="J284" s="54">
        <v>11</v>
      </c>
      <c r="K284" s="2">
        <v>0.52380952380952295</v>
      </c>
      <c r="L284" s="49">
        <v>0.52</v>
      </c>
    </row>
    <row r="285" spans="1:12" ht="24.75" customHeight="1" x14ac:dyDescent="0.3">
      <c r="A285" s="1" t="s">
        <v>9</v>
      </c>
      <c r="B285" s="35" t="s">
        <v>266</v>
      </c>
      <c r="C285" s="35"/>
      <c r="D285" s="8">
        <v>891</v>
      </c>
      <c r="E285" s="20">
        <v>22.22</v>
      </c>
      <c r="F285" s="6">
        <v>105</v>
      </c>
      <c r="G285" s="2">
        <f>22.22/105</f>
        <v>0.2116190476190476</v>
      </c>
      <c r="H285" s="12">
        <v>14</v>
      </c>
      <c r="I285" s="2">
        <f>105/14</f>
        <v>7.5</v>
      </c>
      <c r="J285" s="2">
        <v>7</v>
      </c>
      <c r="K285" s="2">
        <f>7/14</f>
        <v>0.5</v>
      </c>
      <c r="L285" s="49">
        <v>0.5</v>
      </c>
    </row>
    <row r="286" spans="1:12" ht="24.75" customHeight="1" x14ac:dyDescent="0.3">
      <c r="A286" s="2" t="s">
        <v>380</v>
      </c>
      <c r="D286" s="56">
        <v>10472</v>
      </c>
      <c r="E286" s="22">
        <v>23.7</v>
      </c>
      <c r="F286" s="57">
        <v>105</v>
      </c>
      <c r="G286" s="2">
        <v>0.22571428571428501</v>
      </c>
      <c r="H286" s="12">
        <v>13</v>
      </c>
      <c r="J286" s="54">
        <v>13</v>
      </c>
      <c r="K286" s="54">
        <v>1</v>
      </c>
      <c r="L286" s="45">
        <v>1</v>
      </c>
    </row>
    <row r="287" spans="1:12" ht="24.75" customHeight="1" x14ac:dyDescent="0.3">
      <c r="A287" s="4" t="s">
        <v>359</v>
      </c>
      <c r="D287" s="56">
        <v>55</v>
      </c>
      <c r="E287" s="23">
        <v>25.42</v>
      </c>
      <c r="F287" s="57">
        <v>105</v>
      </c>
      <c r="G287" s="2">
        <v>0.242095238095238</v>
      </c>
      <c r="H287" s="12">
        <v>31</v>
      </c>
      <c r="J287" s="54">
        <v>6</v>
      </c>
      <c r="K287" s="2">
        <v>0.19354838709677399</v>
      </c>
      <c r="L287" s="49">
        <v>0.19</v>
      </c>
    </row>
    <row r="288" spans="1:12" ht="24.75" customHeight="1" x14ac:dyDescent="0.3">
      <c r="A288" s="58" t="s">
        <v>374</v>
      </c>
      <c r="D288" s="56">
        <v>1725</v>
      </c>
      <c r="E288" s="23">
        <v>27.55</v>
      </c>
      <c r="F288" s="57">
        <v>105</v>
      </c>
      <c r="G288" s="2">
        <v>0.26238095238095199</v>
      </c>
      <c r="H288" s="12">
        <v>14</v>
      </c>
      <c r="J288" s="54">
        <v>14</v>
      </c>
      <c r="K288" s="54">
        <v>1</v>
      </c>
      <c r="L288" s="45">
        <v>1</v>
      </c>
    </row>
    <row r="289" spans="1:12" ht="24.75" customHeight="1" x14ac:dyDescent="0.3">
      <c r="A289" s="59" t="s">
        <v>397</v>
      </c>
      <c r="D289" s="56">
        <v>3827</v>
      </c>
      <c r="E289" s="17">
        <v>18.3</v>
      </c>
      <c r="F289" s="57">
        <v>104</v>
      </c>
      <c r="G289" s="2">
        <v>0.175961538461538</v>
      </c>
      <c r="H289" s="12">
        <v>15</v>
      </c>
      <c r="J289" s="54">
        <v>15</v>
      </c>
      <c r="K289" s="54">
        <v>1</v>
      </c>
      <c r="L289" s="45">
        <v>1</v>
      </c>
    </row>
    <row r="290" spans="1:12" ht="24.75" customHeight="1" x14ac:dyDescent="0.3">
      <c r="A290" s="59" t="s">
        <v>417</v>
      </c>
      <c r="D290" s="56">
        <v>201</v>
      </c>
      <c r="E290" s="22">
        <v>24.2</v>
      </c>
      <c r="F290" s="57">
        <v>104</v>
      </c>
      <c r="G290" s="2">
        <v>0.23076923076923</v>
      </c>
      <c r="H290" s="12">
        <v>8</v>
      </c>
      <c r="J290" s="54">
        <v>6</v>
      </c>
      <c r="K290" s="54">
        <v>0.75</v>
      </c>
      <c r="L290" s="49">
        <v>0.75</v>
      </c>
    </row>
    <row r="291" spans="1:12" ht="24.75" customHeight="1" x14ac:dyDescent="0.3">
      <c r="A291" s="4" t="s">
        <v>407</v>
      </c>
      <c r="D291" s="56">
        <v>2483</v>
      </c>
      <c r="E291" s="23">
        <v>26.12</v>
      </c>
      <c r="F291" s="57">
        <v>104</v>
      </c>
      <c r="G291" s="2">
        <v>0.25115384615384601</v>
      </c>
      <c r="H291" s="12">
        <v>21</v>
      </c>
      <c r="J291" s="54">
        <v>21</v>
      </c>
      <c r="K291" s="54">
        <v>1</v>
      </c>
      <c r="L291" s="45">
        <v>1</v>
      </c>
    </row>
    <row r="292" spans="1:12" ht="24.75" customHeight="1" x14ac:dyDescent="0.3">
      <c r="A292" s="4" t="s">
        <v>350</v>
      </c>
      <c r="D292" s="56">
        <v>760</v>
      </c>
      <c r="E292" s="23">
        <v>26.36</v>
      </c>
      <c r="F292" s="57">
        <v>104</v>
      </c>
      <c r="G292" s="2">
        <v>0.25346153846153802</v>
      </c>
      <c r="H292" s="12">
        <v>17</v>
      </c>
      <c r="J292" s="54">
        <v>16</v>
      </c>
      <c r="K292" s="2">
        <v>0.94117647058823495</v>
      </c>
      <c r="L292" s="45">
        <v>0.94</v>
      </c>
    </row>
    <row r="293" spans="1:12" ht="24.75" customHeight="1" x14ac:dyDescent="0.3">
      <c r="A293" s="2" t="s">
        <v>383</v>
      </c>
      <c r="D293" s="56">
        <v>5925</v>
      </c>
      <c r="E293" s="23">
        <v>28.14</v>
      </c>
      <c r="F293" s="57">
        <v>104</v>
      </c>
      <c r="G293" s="2">
        <v>0.34144230769230699</v>
      </c>
      <c r="H293" s="12">
        <v>7</v>
      </c>
      <c r="J293" s="54">
        <v>7</v>
      </c>
      <c r="K293" s="54">
        <v>1</v>
      </c>
      <c r="L293" s="45">
        <v>1</v>
      </c>
    </row>
    <row r="294" spans="1:12" ht="24.75" customHeight="1" x14ac:dyDescent="0.3">
      <c r="A294" s="2" t="s">
        <v>385</v>
      </c>
      <c r="D294" s="56">
        <v>5388</v>
      </c>
      <c r="E294" s="28">
        <v>35.51</v>
      </c>
      <c r="F294" s="57">
        <v>104</v>
      </c>
      <c r="G294" s="2">
        <v>0.34144230769230699</v>
      </c>
      <c r="H294" s="12">
        <v>9</v>
      </c>
      <c r="J294" s="54">
        <v>9</v>
      </c>
      <c r="K294" s="54">
        <v>1</v>
      </c>
      <c r="L294" s="45">
        <v>1</v>
      </c>
    </row>
    <row r="295" spans="1:12" ht="24.75" customHeight="1" x14ac:dyDescent="0.3">
      <c r="A295" s="59" t="s">
        <v>381</v>
      </c>
      <c r="D295" s="56">
        <v>11463</v>
      </c>
      <c r="E295" s="17">
        <v>18.45</v>
      </c>
      <c r="F295" s="57">
        <v>103</v>
      </c>
      <c r="G295" s="2">
        <v>0.17912621359223299</v>
      </c>
      <c r="H295" s="12">
        <v>19</v>
      </c>
      <c r="J295" s="54">
        <v>13</v>
      </c>
      <c r="K295" s="2">
        <v>0.68421052631578905</v>
      </c>
      <c r="L295" s="49">
        <v>0.68</v>
      </c>
    </row>
    <row r="296" spans="1:12" ht="24.75" customHeight="1" x14ac:dyDescent="0.3">
      <c r="A296" s="2" t="s">
        <v>406</v>
      </c>
      <c r="D296" s="56">
        <v>2895</v>
      </c>
      <c r="E296" s="23">
        <v>26.73</v>
      </c>
      <c r="F296" s="57">
        <v>103</v>
      </c>
      <c r="G296" s="2">
        <v>0.25951456310679599</v>
      </c>
      <c r="H296" s="12">
        <v>16</v>
      </c>
      <c r="J296" s="54">
        <v>16</v>
      </c>
      <c r="K296" s="54">
        <v>1</v>
      </c>
      <c r="L296" s="45">
        <v>1</v>
      </c>
    </row>
    <row r="297" spans="1:12" ht="24.75" customHeight="1" x14ac:dyDescent="0.3">
      <c r="A297" s="4" t="s">
        <v>351</v>
      </c>
      <c r="D297" s="56">
        <v>806</v>
      </c>
      <c r="E297" s="27">
        <v>32.130000000000003</v>
      </c>
      <c r="F297" s="57">
        <v>103</v>
      </c>
      <c r="G297" s="2">
        <v>0.31194174757281501</v>
      </c>
      <c r="H297" s="12">
        <v>18</v>
      </c>
      <c r="J297" s="54">
        <v>5</v>
      </c>
      <c r="K297" s="2">
        <v>0.27777777777777701</v>
      </c>
      <c r="L297" s="49">
        <v>0.28000000000000003</v>
      </c>
    </row>
    <row r="298" spans="1:12" ht="24.75" customHeight="1" x14ac:dyDescent="0.3">
      <c r="A298" s="66" t="s">
        <v>13</v>
      </c>
      <c r="B298" s="34" t="s">
        <v>217</v>
      </c>
      <c r="C298" s="34"/>
      <c r="D298" s="8">
        <v>223</v>
      </c>
      <c r="E298" s="27">
        <v>34.04</v>
      </c>
      <c r="F298" s="5">
        <v>103</v>
      </c>
      <c r="G298" s="2">
        <f xml:space="preserve"> 34.04/103</f>
        <v>0.33048543689320387</v>
      </c>
      <c r="H298" s="12">
        <v>34</v>
      </c>
      <c r="I298" s="2">
        <f>103/34</f>
        <v>3.0294117647058822</v>
      </c>
      <c r="J298" s="2">
        <v>6</v>
      </c>
      <c r="K298" s="2">
        <f>6/34</f>
        <v>0.17647058823529413</v>
      </c>
      <c r="L298" s="49">
        <v>0.18</v>
      </c>
    </row>
    <row r="299" spans="1:12" ht="24.75" customHeight="1" x14ac:dyDescent="0.3">
      <c r="A299" s="58" t="s">
        <v>375</v>
      </c>
      <c r="D299" s="56">
        <v>1810</v>
      </c>
      <c r="E299" s="14">
        <v>13.71</v>
      </c>
      <c r="F299" s="57">
        <v>102</v>
      </c>
      <c r="G299" s="2">
        <v>13.4411764705882</v>
      </c>
      <c r="H299" s="12">
        <v>32</v>
      </c>
      <c r="J299" s="54">
        <v>16</v>
      </c>
      <c r="K299" s="2">
        <v>0.5</v>
      </c>
      <c r="L299" s="49">
        <v>0.5</v>
      </c>
    </row>
    <row r="300" spans="1:12" ht="24.75" customHeight="1" x14ac:dyDescent="0.3">
      <c r="A300" s="58" t="s">
        <v>354</v>
      </c>
      <c r="D300" s="56">
        <v>446</v>
      </c>
      <c r="E300" s="14">
        <v>14.25</v>
      </c>
      <c r="F300" s="57">
        <v>102</v>
      </c>
      <c r="G300" s="2">
        <v>0.13970588235294101</v>
      </c>
      <c r="H300" s="12">
        <v>21</v>
      </c>
      <c r="J300" s="54">
        <v>9</v>
      </c>
      <c r="K300" s="2">
        <v>0.42857142857142799</v>
      </c>
      <c r="L300" s="49">
        <v>0.43</v>
      </c>
    </row>
    <row r="301" spans="1:12" ht="24.75" customHeight="1" x14ac:dyDescent="0.3">
      <c r="A301" s="59" t="s">
        <v>395</v>
      </c>
      <c r="D301" s="56">
        <v>3887</v>
      </c>
      <c r="E301" s="64">
        <v>24.17</v>
      </c>
      <c r="F301" s="57">
        <v>102</v>
      </c>
      <c r="G301" s="2">
        <v>0.236960784313725</v>
      </c>
      <c r="H301" s="12">
        <v>13</v>
      </c>
      <c r="J301" s="54">
        <v>13</v>
      </c>
      <c r="K301" s="54">
        <v>1</v>
      </c>
      <c r="L301" s="45">
        <v>1</v>
      </c>
    </row>
    <row r="302" spans="1:12" ht="24.75" customHeight="1" x14ac:dyDescent="0.3">
      <c r="A302" s="4" t="s">
        <v>361</v>
      </c>
      <c r="D302" s="56">
        <v>10</v>
      </c>
      <c r="E302" s="28">
        <v>46.48</v>
      </c>
      <c r="F302" s="57">
        <v>102</v>
      </c>
      <c r="G302" s="2">
        <v>0.45568627450980298</v>
      </c>
      <c r="H302" s="12">
        <v>9</v>
      </c>
      <c r="J302" s="54">
        <v>4</v>
      </c>
      <c r="K302" s="2">
        <v>0.44444444444444398</v>
      </c>
      <c r="L302" s="49">
        <v>0.44</v>
      </c>
    </row>
    <row r="303" spans="1:12" ht="24.75" customHeight="1" x14ac:dyDescent="0.3">
      <c r="A303" s="60" t="s">
        <v>94</v>
      </c>
      <c r="B303" s="34" t="s">
        <v>230</v>
      </c>
      <c r="C303" s="34"/>
      <c r="D303" s="8">
        <v>65</v>
      </c>
      <c r="E303" s="17">
        <v>19.899999999999999</v>
      </c>
      <c r="F303" s="6">
        <v>101</v>
      </c>
      <c r="G303" s="2">
        <f>19.9/101</f>
        <v>0.19702970297029701</v>
      </c>
      <c r="H303" s="12">
        <v>14</v>
      </c>
      <c r="I303" s="2">
        <f>101/14</f>
        <v>7.2142857142857144</v>
      </c>
      <c r="J303" s="2">
        <v>12</v>
      </c>
      <c r="K303" s="2">
        <f>12/14</f>
        <v>0.8571428571428571</v>
      </c>
      <c r="L303" s="45">
        <v>0.86</v>
      </c>
    </row>
    <row r="304" spans="1:12" ht="24.75" customHeight="1" x14ac:dyDescent="0.3">
      <c r="A304" s="58" t="s">
        <v>352</v>
      </c>
      <c r="D304" s="56">
        <v>562</v>
      </c>
      <c r="E304" s="22">
        <v>23.64</v>
      </c>
      <c r="F304" s="57">
        <v>101</v>
      </c>
      <c r="G304" s="2">
        <v>0.23405940594059399</v>
      </c>
      <c r="H304" s="12">
        <v>13</v>
      </c>
      <c r="J304" s="54">
        <v>6</v>
      </c>
      <c r="K304" s="2">
        <v>0.46153846153846101</v>
      </c>
      <c r="L304" s="49">
        <v>0.46</v>
      </c>
    </row>
    <row r="305" spans="1:12" ht="24.75" customHeight="1" x14ac:dyDescent="0.3">
      <c r="A305" s="4" t="s">
        <v>348</v>
      </c>
      <c r="D305" s="56">
        <v>831</v>
      </c>
      <c r="E305" s="23">
        <v>26.65</v>
      </c>
      <c r="F305" s="57">
        <v>101</v>
      </c>
      <c r="G305" s="2">
        <v>0.26287128712871199</v>
      </c>
      <c r="H305" s="12">
        <v>14</v>
      </c>
      <c r="I305" s="2"/>
      <c r="J305" s="54">
        <v>11</v>
      </c>
      <c r="K305" s="2">
        <v>0.78571428571428503</v>
      </c>
      <c r="L305" s="49">
        <v>0.79</v>
      </c>
    </row>
    <row r="306" spans="1:12" ht="24.75" customHeight="1" x14ac:dyDescent="0.3">
      <c r="A306" s="4" t="s">
        <v>349</v>
      </c>
      <c r="D306" s="56">
        <v>772</v>
      </c>
      <c r="E306" s="23">
        <v>28.28</v>
      </c>
      <c r="F306" s="57">
        <v>101</v>
      </c>
      <c r="G306" s="2">
        <v>0.28000000000000003</v>
      </c>
      <c r="H306" s="12">
        <v>8</v>
      </c>
      <c r="I306" s="2"/>
      <c r="J306" s="54">
        <v>6</v>
      </c>
      <c r="K306" s="2">
        <v>0.75</v>
      </c>
      <c r="L306" s="49">
        <v>0.75</v>
      </c>
    </row>
    <row r="307" spans="1:12" ht="24.75" customHeight="1" x14ac:dyDescent="0.3">
      <c r="A307" s="66" t="s">
        <v>3</v>
      </c>
      <c r="B307" s="35" t="s">
        <v>261</v>
      </c>
      <c r="C307" s="35"/>
      <c r="D307" s="8">
        <v>557</v>
      </c>
      <c r="E307" s="26">
        <v>30.67</v>
      </c>
      <c r="F307" s="7">
        <v>101</v>
      </c>
      <c r="G307" s="1">
        <v>0.30365999999999999</v>
      </c>
      <c r="H307" s="12">
        <v>15</v>
      </c>
      <c r="I307" s="2">
        <f>101/15</f>
        <v>6.7333333333333334</v>
      </c>
      <c r="J307" s="2">
        <v>4</v>
      </c>
      <c r="K307" s="2">
        <f>4/15</f>
        <v>0.26666666666666666</v>
      </c>
      <c r="L307" s="49">
        <v>0.27</v>
      </c>
    </row>
    <row r="308" spans="1:12" ht="24.75" customHeight="1" x14ac:dyDescent="0.3">
      <c r="A308" s="58" t="s">
        <v>353</v>
      </c>
      <c r="D308" s="56">
        <v>557</v>
      </c>
      <c r="E308" s="27">
        <v>30.67</v>
      </c>
      <c r="F308" s="57">
        <v>101</v>
      </c>
      <c r="G308" s="2">
        <v>0.30366336633663299</v>
      </c>
      <c r="H308" s="12">
        <v>15</v>
      </c>
      <c r="J308" s="54">
        <v>4</v>
      </c>
      <c r="K308" s="2">
        <v>0.266666666666666</v>
      </c>
      <c r="L308" s="49">
        <v>0.27</v>
      </c>
    </row>
    <row r="309" spans="1:12" ht="24.75" customHeight="1" x14ac:dyDescent="0.3">
      <c r="A309" s="58" t="s">
        <v>377</v>
      </c>
      <c r="D309" s="56">
        <v>152</v>
      </c>
      <c r="E309" s="27">
        <v>34.020000000000003</v>
      </c>
      <c r="F309" s="57">
        <v>101</v>
      </c>
      <c r="G309" s="2">
        <v>0.33683168316831602</v>
      </c>
      <c r="H309" s="12">
        <v>25</v>
      </c>
      <c r="J309" s="54">
        <v>4</v>
      </c>
      <c r="K309" s="2">
        <v>0.16</v>
      </c>
      <c r="L309" s="49">
        <v>0.16</v>
      </c>
    </row>
    <row r="310" spans="1:12" ht="24.75" customHeight="1" x14ac:dyDescent="0.3">
      <c r="A310" s="4" t="s">
        <v>355</v>
      </c>
      <c r="D310" s="56">
        <v>427</v>
      </c>
      <c r="E310" s="28">
        <v>38.18</v>
      </c>
      <c r="F310" s="57">
        <v>101</v>
      </c>
      <c r="G310" s="2">
        <v>0.37801980198019802</v>
      </c>
      <c r="H310" s="12">
        <v>12</v>
      </c>
      <c r="J310" s="54">
        <v>12</v>
      </c>
      <c r="K310" s="54">
        <v>1</v>
      </c>
      <c r="L310" s="45">
        <v>1</v>
      </c>
    </row>
    <row r="311" spans="1:12" ht="24.75" customHeight="1" x14ac:dyDescent="0.3">
      <c r="A311" s="2" t="s">
        <v>387</v>
      </c>
      <c r="D311" s="56">
        <v>4936</v>
      </c>
      <c r="E311" s="17">
        <v>16.71</v>
      </c>
      <c r="F311" s="57">
        <v>100</v>
      </c>
      <c r="G311" s="2">
        <v>0.1671</v>
      </c>
      <c r="H311" s="12">
        <v>14</v>
      </c>
      <c r="I311" s="2"/>
      <c r="J311" s="54">
        <v>14</v>
      </c>
      <c r="K311" s="54">
        <v>1</v>
      </c>
      <c r="L311" s="45">
        <v>1</v>
      </c>
    </row>
    <row r="312" spans="1:12" ht="24.75" customHeight="1" x14ac:dyDescent="0.3">
      <c r="A312" s="4" t="s">
        <v>399</v>
      </c>
      <c r="D312" s="56">
        <v>3742</v>
      </c>
      <c r="E312" s="17">
        <v>17.579999999999998</v>
      </c>
      <c r="F312" s="57">
        <v>100</v>
      </c>
      <c r="G312" s="2">
        <v>0.17580000000000001</v>
      </c>
      <c r="H312" s="12">
        <v>17</v>
      </c>
      <c r="I312" s="2"/>
      <c r="J312" s="54">
        <v>16</v>
      </c>
      <c r="K312" s="2">
        <v>0.94117647058823495</v>
      </c>
      <c r="L312" s="45">
        <v>0.94</v>
      </c>
    </row>
    <row r="313" spans="1:12" ht="24.75" customHeight="1" x14ac:dyDescent="0.3">
      <c r="A313" s="58" t="s">
        <v>347</v>
      </c>
      <c r="D313" s="56">
        <v>864</v>
      </c>
      <c r="E313" s="23">
        <v>27.54</v>
      </c>
      <c r="F313" s="57">
        <v>100</v>
      </c>
      <c r="G313" s="2">
        <v>0.27539999999999998</v>
      </c>
      <c r="H313" s="12">
        <v>30</v>
      </c>
      <c r="I313" s="2"/>
      <c r="J313" s="54">
        <v>6</v>
      </c>
      <c r="K313" s="54">
        <v>0.2</v>
      </c>
      <c r="L313" s="49">
        <v>0.2</v>
      </c>
    </row>
    <row r="314" spans="1:12" ht="24.75" customHeight="1" x14ac:dyDescent="0.3">
      <c r="A314" s="4" t="s">
        <v>376</v>
      </c>
      <c r="D314" s="56">
        <v>1796</v>
      </c>
      <c r="E314" s="23">
        <v>29.15</v>
      </c>
      <c r="F314" s="57">
        <v>100</v>
      </c>
      <c r="G314" s="2">
        <v>0.29149999999999998</v>
      </c>
      <c r="H314" s="12">
        <v>9</v>
      </c>
      <c r="I314" s="2"/>
      <c r="J314" s="54">
        <v>9</v>
      </c>
      <c r="K314" s="2">
        <v>1</v>
      </c>
      <c r="L314" s="45">
        <v>1</v>
      </c>
    </row>
    <row r="315" spans="1:12" ht="24.75" customHeight="1" x14ac:dyDescent="0.3">
      <c r="A315" s="4" t="s">
        <v>360</v>
      </c>
      <c r="D315" s="56">
        <v>36</v>
      </c>
      <c r="E315" s="28">
        <v>37.880000000000003</v>
      </c>
      <c r="F315" s="57">
        <v>100</v>
      </c>
      <c r="G315" s="2">
        <v>0.37880000000000003</v>
      </c>
      <c r="H315" s="12">
        <v>27</v>
      </c>
      <c r="I315" s="2"/>
      <c r="J315" s="54">
        <v>2</v>
      </c>
      <c r="K315" s="2">
        <v>7.4074074074074098E-2</v>
      </c>
      <c r="L315" s="49">
        <v>0.74</v>
      </c>
    </row>
    <row r="316" spans="1:12" ht="24.75" customHeight="1" x14ac:dyDescent="0.3">
      <c r="A316" s="2" t="s">
        <v>378</v>
      </c>
      <c r="D316" s="56">
        <v>11756</v>
      </c>
      <c r="E316" s="28">
        <v>40.06</v>
      </c>
      <c r="F316" s="57">
        <v>100</v>
      </c>
      <c r="G316" s="2">
        <v>0.40060000000000001</v>
      </c>
      <c r="H316" s="12">
        <v>6</v>
      </c>
      <c r="I316" s="2"/>
      <c r="J316" s="54">
        <v>6</v>
      </c>
      <c r="K316" s="2">
        <v>1</v>
      </c>
      <c r="L316" s="45">
        <v>1</v>
      </c>
    </row>
    <row r="317" spans="1:12" s="79" customFormat="1" ht="24.75" customHeight="1" x14ac:dyDescent="0.25">
      <c r="A317" s="81"/>
      <c r="F317" s="81"/>
    </row>
    <row r="318" spans="1:12" s="79" customFormat="1" ht="24.75" customHeight="1" x14ac:dyDescent="0.25">
      <c r="A318" s="84"/>
      <c r="F318" s="81"/>
    </row>
    <row r="319" spans="1:12" s="79" customFormat="1" ht="24.75" customHeight="1" x14ac:dyDescent="0.25">
      <c r="A319" s="81"/>
      <c r="F319" s="81"/>
    </row>
    <row r="320" spans="1:12" s="79" customFormat="1" ht="24.75" customHeight="1" x14ac:dyDescent="0.25">
      <c r="A320" s="81"/>
      <c r="F320" s="81"/>
    </row>
    <row r="321" spans="1:6" s="79" customFormat="1" ht="24.75" customHeight="1" x14ac:dyDescent="0.25">
      <c r="A321" s="84"/>
      <c r="F321" s="81"/>
    </row>
    <row r="322" spans="1:6" s="79" customFormat="1" ht="24.75" customHeight="1" x14ac:dyDescent="0.25">
      <c r="A322" s="84"/>
      <c r="F322" s="81"/>
    </row>
    <row r="323" spans="1:6" s="79" customFormat="1" ht="24.75" customHeight="1" x14ac:dyDescent="0.25">
      <c r="A323" s="84"/>
      <c r="F323" s="81"/>
    </row>
    <row r="324" spans="1:6" s="79" customFormat="1" ht="24.75" customHeight="1" x14ac:dyDescent="0.25">
      <c r="A324" s="81"/>
      <c r="F324" s="81"/>
    </row>
    <row r="325" spans="1:6" s="79" customFormat="1" ht="24.75" customHeight="1" x14ac:dyDescent="0.25">
      <c r="A325" s="84"/>
      <c r="F325" s="81"/>
    </row>
    <row r="326" spans="1:6" s="79" customFormat="1" ht="24.75" customHeight="1" x14ac:dyDescent="0.25">
      <c r="A326" s="84"/>
      <c r="F326" s="81"/>
    </row>
    <row r="327" spans="1:6" s="79" customFormat="1" ht="24.75" customHeight="1" x14ac:dyDescent="0.25">
      <c r="A327" s="84"/>
      <c r="F327" s="81"/>
    </row>
    <row r="328" spans="1:6" s="79" customFormat="1" ht="24.75" customHeight="1" x14ac:dyDescent="0.25">
      <c r="A328" s="84"/>
      <c r="F328" s="81"/>
    </row>
    <row r="329" spans="1:6" s="79" customFormat="1" ht="24.75" customHeight="1" x14ac:dyDescent="0.25">
      <c r="A329" s="84"/>
      <c r="F329" s="81"/>
    </row>
    <row r="330" spans="1:6" s="79" customFormat="1" ht="24.75" customHeight="1" x14ac:dyDescent="0.25">
      <c r="A330" s="84"/>
      <c r="F330" s="81"/>
    </row>
    <row r="331" spans="1:6" s="79" customFormat="1" ht="24.75" customHeight="1" x14ac:dyDescent="0.25">
      <c r="A331" s="84"/>
      <c r="F331" s="81"/>
    </row>
    <row r="332" spans="1:6" s="79" customFormat="1" ht="24.75" customHeight="1" x14ac:dyDescent="0.25">
      <c r="A332" s="84"/>
      <c r="F332" s="81"/>
    </row>
    <row r="333" spans="1:6" s="79" customFormat="1" ht="24.75" customHeight="1" x14ac:dyDescent="0.25">
      <c r="A333" s="84"/>
      <c r="F333" s="81"/>
    </row>
    <row r="334" spans="1:6" s="79" customFormat="1" ht="24.75" customHeight="1" x14ac:dyDescent="0.25">
      <c r="A334" s="85"/>
      <c r="F334" s="81"/>
    </row>
    <row r="335" spans="1:6" s="79" customFormat="1" ht="24.75" customHeight="1" x14ac:dyDescent="0.25">
      <c r="A335" s="85"/>
      <c r="F335" s="81"/>
    </row>
    <row r="336" spans="1:6" s="79" customFormat="1" ht="24.75" customHeight="1" x14ac:dyDescent="0.25">
      <c r="A336" s="81"/>
      <c r="F336" s="81"/>
    </row>
    <row r="337" spans="1:12" s="79" customFormat="1" ht="24.75" customHeight="1" x14ac:dyDescent="0.25">
      <c r="A337" s="81"/>
      <c r="F337" s="81"/>
    </row>
    <row r="338" spans="1:12" s="79" customFormat="1" ht="24.75" customHeight="1" x14ac:dyDescent="0.25">
      <c r="A338" s="81"/>
      <c r="F338" s="81"/>
    </row>
    <row r="339" spans="1:12" s="79" customFormat="1" ht="24.75" customHeight="1" x14ac:dyDescent="0.25">
      <c r="A339" s="81"/>
      <c r="F339" s="81"/>
    </row>
    <row r="340" spans="1:12" s="79" customFormat="1" ht="24.75" customHeight="1" x14ac:dyDescent="0.25">
      <c r="A340" s="81"/>
      <c r="F340" s="81"/>
    </row>
    <row r="341" spans="1:12" s="79" customFormat="1" ht="24.75" customHeight="1" x14ac:dyDescent="0.25">
      <c r="A341" s="81"/>
      <c r="F341" s="81"/>
    </row>
    <row r="342" spans="1:12" s="79" customFormat="1" ht="24.75" customHeight="1" x14ac:dyDescent="0.3">
      <c r="A342" s="86"/>
      <c r="B342" s="86"/>
      <c r="C342" s="86"/>
      <c r="D342" s="86"/>
      <c r="E342" s="83"/>
      <c r="F342" s="83"/>
      <c r="G342" s="80"/>
      <c r="H342" s="80"/>
      <c r="I342" s="80"/>
      <c r="J342" s="80"/>
      <c r="K342" s="80"/>
      <c r="L342" s="87"/>
    </row>
    <row r="343" spans="1:12" s="79" customFormat="1" ht="24.75" customHeight="1" x14ac:dyDescent="0.25">
      <c r="A343" s="81"/>
      <c r="F343" s="81"/>
    </row>
    <row r="344" spans="1:12" s="79" customFormat="1" ht="24.75" customHeight="1" x14ac:dyDescent="0.25">
      <c r="A344" s="81"/>
      <c r="F344" s="81"/>
    </row>
    <row r="345" spans="1:12" s="79" customFormat="1" ht="24.75" customHeight="1" x14ac:dyDescent="0.25">
      <c r="A345" s="81"/>
      <c r="F345" s="81"/>
    </row>
    <row r="346" spans="1:12" s="79" customFormat="1" ht="24.75" customHeight="1" x14ac:dyDescent="0.25">
      <c r="A346" s="81"/>
      <c r="F346" s="81"/>
    </row>
    <row r="347" spans="1:12" s="79" customFormat="1" ht="24.75" customHeight="1" x14ac:dyDescent="0.25">
      <c r="A347" s="81"/>
      <c r="F347" s="81"/>
    </row>
    <row r="348" spans="1:12" s="79" customFormat="1" ht="24.75" customHeight="1" x14ac:dyDescent="0.25">
      <c r="A348" s="81"/>
      <c r="F348" s="81"/>
    </row>
    <row r="349" spans="1:12" s="79" customFormat="1" ht="24.75" customHeight="1" x14ac:dyDescent="0.25">
      <c r="A349" s="81"/>
      <c r="F349" s="81"/>
    </row>
    <row r="350" spans="1:12" s="79" customFormat="1" ht="24.75" customHeight="1" x14ac:dyDescent="0.25">
      <c r="A350" s="81"/>
      <c r="F350" s="81"/>
    </row>
    <row r="351" spans="1:12" s="79" customFormat="1" ht="24.75" customHeight="1" x14ac:dyDescent="0.25">
      <c r="A351" s="81"/>
      <c r="F351" s="81"/>
    </row>
    <row r="352" spans="1:12" s="79" customFormat="1" ht="24.75" customHeight="1" x14ac:dyDescent="0.25">
      <c r="A352" s="81"/>
      <c r="F352" s="81"/>
    </row>
    <row r="353" spans="1:12" s="79" customFormat="1" ht="24.75" customHeight="1" x14ac:dyDescent="0.25">
      <c r="A353" s="81"/>
      <c r="F353" s="81"/>
    </row>
    <row r="354" spans="1:12" s="79" customFormat="1" ht="24.75" customHeight="1" x14ac:dyDescent="0.25">
      <c r="A354" s="81"/>
      <c r="F354" s="81"/>
    </row>
    <row r="355" spans="1:12" s="79" customFormat="1" ht="24.75" customHeight="1" x14ac:dyDescent="0.25">
      <c r="A355" s="81"/>
      <c r="F355" s="81"/>
    </row>
    <row r="356" spans="1:12" s="79" customFormat="1" ht="24.75" customHeight="1" x14ac:dyDescent="0.25">
      <c r="A356" s="81"/>
      <c r="F356" s="81"/>
    </row>
    <row r="357" spans="1:12" s="79" customFormat="1" ht="24.75" customHeight="1" x14ac:dyDescent="0.25">
      <c r="A357" s="81"/>
      <c r="F357" s="81"/>
    </row>
    <row r="358" spans="1:12" s="79" customFormat="1" ht="24.75" customHeight="1" x14ac:dyDescent="0.25">
      <c r="A358" s="81"/>
      <c r="F358" s="81"/>
    </row>
    <row r="359" spans="1:12" s="79" customFormat="1" ht="24.75" customHeight="1" x14ac:dyDescent="0.25">
      <c r="A359" s="81"/>
      <c r="F359" s="81"/>
    </row>
    <row r="360" spans="1:12" s="79" customFormat="1" ht="24.75" customHeight="1" x14ac:dyDescent="0.3">
      <c r="A360" s="80"/>
      <c r="B360" s="80"/>
      <c r="C360" s="80"/>
      <c r="D360" s="86"/>
      <c r="E360" s="80"/>
      <c r="F360" s="80"/>
      <c r="G360" s="80"/>
      <c r="H360" s="80"/>
      <c r="I360" s="80"/>
      <c r="J360" s="80"/>
      <c r="K360" s="80"/>
      <c r="L360" s="88"/>
    </row>
    <row r="361" spans="1:12" s="79" customFormat="1" ht="24.75" customHeight="1" x14ac:dyDescent="0.25">
      <c r="A361" s="81"/>
      <c r="F361" s="81"/>
    </row>
    <row r="362" spans="1:12" s="79" customFormat="1" ht="24.75" customHeight="1" x14ac:dyDescent="0.25">
      <c r="A362" s="81"/>
      <c r="F362" s="81"/>
    </row>
    <row r="363" spans="1:12" s="79" customFormat="1" ht="24.75" customHeight="1" x14ac:dyDescent="0.25">
      <c r="A363" s="81"/>
      <c r="F363" s="81"/>
    </row>
    <row r="364" spans="1:12" s="79" customFormat="1" ht="24.75" customHeight="1" x14ac:dyDescent="0.25">
      <c r="A364" s="81"/>
      <c r="F364" s="81"/>
    </row>
    <row r="365" spans="1:12" s="79" customFormat="1" ht="24.75" customHeight="1" x14ac:dyDescent="0.25">
      <c r="A365" s="81"/>
      <c r="F365" s="81"/>
    </row>
    <row r="366" spans="1:12" s="79" customFormat="1" ht="24.75" customHeight="1" x14ac:dyDescent="0.25">
      <c r="A366" s="81"/>
      <c r="F366" s="81"/>
    </row>
    <row r="367" spans="1:12" s="79" customFormat="1" ht="24.75" customHeight="1" x14ac:dyDescent="0.25">
      <c r="A367" s="85"/>
      <c r="F367" s="81"/>
    </row>
    <row r="368" spans="1:12" s="79" customFormat="1" ht="24.75" customHeight="1" x14ac:dyDescent="0.3">
      <c r="A368" s="80"/>
      <c r="B368" s="80"/>
      <c r="C368" s="80"/>
      <c r="D368" s="86"/>
      <c r="E368" s="80"/>
      <c r="F368" s="80"/>
      <c r="G368" s="80"/>
      <c r="H368" s="80"/>
      <c r="I368" s="80"/>
      <c r="J368" s="80"/>
      <c r="K368" s="80"/>
      <c r="L368" s="88"/>
    </row>
    <row r="369" spans="1:12" s="79" customFormat="1" ht="24.75" customHeight="1" x14ac:dyDescent="0.3">
      <c r="A369" s="80"/>
      <c r="B369" s="80"/>
      <c r="C369" s="80"/>
      <c r="D369" s="86"/>
      <c r="E369" s="80"/>
      <c r="F369" s="80"/>
      <c r="G369" s="80"/>
      <c r="H369" s="80"/>
      <c r="I369" s="80"/>
      <c r="J369" s="80"/>
      <c r="K369" s="80"/>
      <c r="L369" s="88"/>
    </row>
    <row r="370" spans="1:12" s="79" customFormat="1" ht="24.75" customHeight="1" x14ac:dyDescent="0.25">
      <c r="A370" s="81"/>
      <c r="F370" s="81"/>
    </row>
    <row r="371" spans="1:12" s="79" customFormat="1" ht="24.75" customHeight="1" x14ac:dyDescent="0.25">
      <c r="A371" s="81"/>
      <c r="F371" s="81"/>
    </row>
    <row r="372" spans="1:12" s="79" customFormat="1" ht="24.75" customHeight="1" x14ac:dyDescent="0.25">
      <c r="A372" s="81"/>
      <c r="F372" s="81"/>
    </row>
    <row r="373" spans="1:12" s="79" customFormat="1" ht="24.75" customHeight="1" x14ac:dyDescent="0.25">
      <c r="A373" s="81"/>
      <c r="F373" s="81"/>
    </row>
    <row r="374" spans="1:12" s="79" customFormat="1" ht="24.75" customHeight="1" x14ac:dyDescent="0.25">
      <c r="A374" s="81"/>
      <c r="F374" s="81"/>
    </row>
    <row r="375" spans="1:12" s="79" customFormat="1" ht="24.75" customHeight="1" x14ac:dyDescent="0.25">
      <c r="A375" s="81"/>
      <c r="F375" s="81"/>
    </row>
    <row r="376" spans="1:12" s="79" customFormat="1" ht="24.75" customHeight="1" x14ac:dyDescent="0.25">
      <c r="A376" s="81"/>
      <c r="F376" s="81"/>
    </row>
    <row r="377" spans="1:12" s="79" customFormat="1" ht="24.75" customHeight="1" x14ac:dyDescent="0.25">
      <c r="A377" s="81"/>
      <c r="F377" s="81"/>
    </row>
    <row r="378" spans="1:12" s="79" customFormat="1" ht="24.75" customHeight="1" x14ac:dyDescent="0.25">
      <c r="A378" s="81"/>
      <c r="F378" s="81"/>
    </row>
    <row r="379" spans="1:12" s="79" customFormat="1" ht="24.75" customHeight="1" x14ac:dyDescent="0.25">
      <c r="A379" s="81"/>
      <c r="F379" s="81"/>
    </row>
    <row r="380" spans="1:12" s="79" customFormat="1" ht="24.75" customHeight="1" x14ac:dyDescent="0.25">
      <c r="A380" s="81"/>
      <c r="F380" s="81"/>
    </row>
    <row r="381" spans="1:12" s="79" customFormat="1" ht="24.75" customHeight="1" x14ac:dyDescent="0.25">
      <c r="A381" s="81"/>
      <c r="F381" s="81"/>
    </row>
    <row r="382" spans="1:12" s="79" customFormat="1" ht="24.75" customHeight="1" x14ac:dyDescent="0.25">
      <c r="A382" s="81"/>
      <c r="F382" s="81"/>
    </row>
    <row r="383" spans="1:12" s="79" customFormat="1" ht="24.75" customHeight="1" x14ac:dyDescent="0.25">
      <c r="A383" s="81"/>
      <c r="F383" s="81"/>
    </row>
    <row r="384" spans="1:12" s="79" customFormat="1" ht="24.75" customHeight="1" x14ac:dyDescent="0.25">
      <c r="A384" s="81"/>
      <c r="F384" s="81"/>
    </row>
    <row r="385" spans="1:6" s="79" customFormat="1" ht="24.75" customHeight="1" x14ac:dyDescent="0.25">
      <c r="A385" s="81"/>
      <c r="F385" s="81"/>
    </row>
    <row r="386" spans="1:6" s="79" customFormat="1" ht="24.75" customHeight="1" x14ac:dyDescent="0.25">
      <c r="A386" s="81"/>
      <c r="F386" s="81"/>
    </row>
    <row r="387" spans="1:6" s="79" customFormat="1" ht="24.75" customHeight="1" x14ac:dyDescent="0.25">
      <c r="A387" s="81"/>
      <c r="F387" s="81"/>
    </row>
    <row r="388" spans="1:6" s="79" customFormat="1" ht="24.75" customHeight="1" x14ac:dyDescent="0.25">
      <c r="A388" s="81"/>
      <c r="F388" s="81"/>
    </row>
    <row r="389" spans="1:6" s="79" customFormat="1" ht="24.75" customHeight="1" x14ac:dyDescent="0.25">
      <c r="A389" s="81"/>
      <c r="F389" s="81"/>
    </row>
    <row r="390" spans="1:6" s="79" customFormat="1" ht="24.75" customHeight="1" x14ac:dyDescent="0.25">
      <c r="A390" s="81"/>
      <c r="F390" s="81"/>
    </row>
    <row r="391" spans="1:6" s="79" customFormat="1" ht="24.75" customHeight="1" x14ac:dyDescent="0.25">
      <c r="A391" s="81"/>
      <c r="F391" s="81"/>
    </row>
    <row r="392" spans="1:6" s="79" customFormat="1" ht="24.75" customHeight="1" x14ac:dyDescent="0.25">
      <c r="A392" s="81"/>
      <c r="F392" s="81"/>
    </row>
    <row r="393" spans="1:6" s="79" customFormat="1" ht="24.75" customHeight="1" x14ac:dyDescent="0.25">
      <c r="A393" s="81"/>
      <c r="F393" s="81"/>
    </row>
    <row r="394" spans="1:6" s="79" customFormat="1" ht="24.75" customHeight="1" x14ac:dyDescent="0.25">
      <c r="A394" s="81"/>
      <c r="F394" s="81"/>
    </row>
    <row r="395" spans="1:6" s="79" customFormat="1" ht="24.75" customHeight="1" x14ac:dyDescent="0.25">
      <c r="A395" s="81"/>
      <c r="F395" s="81"/>
    </row>
    <row r="396" spans="1:6" s="79" customFormat="1" ht="24.75" customHeight="1" x14ac:dyDescent="0.25">
      <c r="A396" s="81"/>
      <c r="F396" s="81"/>
    </row>
    <row r="397" spans="1:6" s="79" customFormat="1" ht="24.75" customHeight="1" x14ac:dyDescent="0.25">
      <c r="A397" s="81"/>
      <c r="F397" s="81"/>
    </row>
    <row r="398" spans="1:6" s="79" customFormat="1" ht="24.75" customHeight="1" x14ac:dyDescent="0.25">
      <c r="A398" s="81"/>
      <c r="F398" s="81"/>
    </row>
    <row r="399" spans="1:6" s="79" customFormat="1" ht="24.75" customHeight="1" x14ac:dyDescent="0.25">
      <c r="A399" s="81"/>
      <c r="F399" s="81"/>
    </row>
    <row r="400" spans="1:6" s="79" customFormat="1" ht="24.75" customHeight="1" x14ac:dyDescent="0.25">
      <c r="A400" s="81"/>
      <c r="F400" s="81"/>
    </row>
    <row r="401" spans="1:6" s="79" customFormat="1" ht="24.75" customHeight="1" x14ac:dyDescent="0.25">
      <c r="A401" s="81"/>
      <c r="F401" s="81"/>
    </row>
    <row r="402" spans="1:6" s="79" customFormat="1" ht="24.75" customHeight="1" x14ac:dyDescent="0.25">
      <c r="A402" s="81"/>
      <c r="F402" s="81"/>
    </row>
    <row r="403" spans="1:6" s="79" customFormat="1" ht="24.75" customHeight="1" x14ac:dyDescent="0.25">
      <c r="A403" s="81"/>
      <c r="F403" s="81"/>
    </row>
    <row r="404" spans="1:6" s="79" customFormat="1" ht="24.75" customHeight="1" x14ac:dyDescent="0.25">
      <c r="A404" s="81"/>
      <c r="F404" s="81"/>
    </row>
    <row r="405" spans="1:6" s="79" customFormat="1" ht="24.75" customHeight="1" x14ac:dyDescent="0.25">
      <c r="A405" s="81"/>
      <c r="F405" s="81"/>
    </row>
    <row r="406" spans="1:6" s="79" customFormat="1" ht="24.75" customHeight="1" x14ac:dyDescent="0.25">
      <c r="A406" s="81"/>
      <c r="F406" s="81"/>
    </row>
    <row r="407" spans="1:6" s="79" customFormat="1" ht="24.75" customHeight="1" x14ac:dyDescent="0.25">
      <c r="A407" s="81"/>
      <c r="F407" s="81"/>
    </row>
    <row r="408" spans="1:6" s="79" customFormat="1" ht="24.75" customHeight="1" x14ac:dyDescent="0.25">
      <c r="A408" s="81"/>
      <c r="F408" s="81"/>
    </row>
    <row r="409" spans="1:6" s="79" customFormat="1" ht="24.75" customHeight="1" x14ac:dyDescent="0.25">
      <c r="A409" s="81"/>
      <c r="F409" s="81"/>
    </row>
    <row r="410" spans="1:6" s="79" customFormat="1" ht="24.75" customHeight="1" x14ac:dyDescent="0.25">
      <c r="A410" s="81"/>
      <c r="F410" s="81"/>
    </row>
    <row r="411" spans="1:6" s="79" customFormat="1" ht="24.75" customHeight="1" x14ac:dyDescent="0.25">
      <c r="A411" s="81"/>
      <c r="F411" s="81"/>
    </row>
    <row r="412" spans="1:6" s="79" customFormat="1" ht="24.75" customHeight="1" x14ac:dyDescent="0.25">
      <c r="A412" s="81"/>
      <c r="F412" s="81"/>
    </row>
    <row r="413" spans="1:6" s="79" customFormat="1" ht="24.75" customHeight="1" x14ac:dyDescent="0.25">
      <c r="A413" s="81"/>
      <c r="F413" s="81"/>
    </row>
    <row r="414" spans="1:6" s="79" customFormat="1" ht="24.75" customHeight="1" x14ac:dyDescent="0.25">
      <c r="A414" s="81"/>
      <c r="F414" s="81"/>
    </row>
    <row r="415" spans="1:6" s="79" customFormat="1" ht="24.75" customHeight="1" x14ac:dyDescent="0.25">
      <c r="A415" s="81"/>
      <c r="F415" s="81"/>
    </row>
    <row r="416" spans="1:6" s="79" customFormat="1" ht="24.75" customHeight="1" x14ac:dyDescent="0.25">
      <c r="A416" s="81"/>
      <c r="F416" s="81"/>
    </row>
    <row r="417" spans="1:12" s="79" customFormat="1" ht="24.75" customHeight="1" x14ac:dyDescent="0.3">
      <c r="A417" s="86"/>
      <c r="B417" s="86"/>
      <c r="C417" s="86"/>
      <c r="D417" s="86"/>
      <c r="E417" s="83"/>
      <c r="F417" s="83"/>
      <c r="G417" s="80"/>
      <c r="H417" s="80"/>
      <c r="I417" s="80"/>
      <c r="J417" s="80"/>
      <c r="K417" s="80"/>
      <c r="L417" s="88"/>
    </row>
    <row r="418" spans="1:12" s="79" customFormat="1" ht="24.75" customHeight="1" x14ac:dyDescent="0.25">
      <c r="A418" s="81"/>
      <c r="F418" s="81"/>
    </row>
    <row r="419" spans="1:12" s="79" customFormat="1" ht="24.75" customHeight="1" x14ac:dyDescent="0.25">
      <c r="A419" s="81"/>
      <c r="F419" s="81"/>
    </row>
    <row r="420" spans="1:12" s="79" customFormat="1" ht="24.75" customHeight="1" x14ac:dyDescent="0.25">
      <c r="A420" s="81"/>
      <c r="F420" s="81"/>
    </row>
    <row r="421" spans="1:12" s="79" customFormat="1" ht="24.75" customHeight="1" x14ac:dyDescent="0.25">
      <c r="A421" s="81"/>
      <c r="F421" s="81"/>
    </row>
    <row r="422" spans="1:12" s="79" customFormat="1" ht="24.75" customHeight="1" x14ac:dyDescent="0.25">
      <c r="A422" s="81"/>
      <c r="F422" s="81"/>
    </row>
    <row r="423" spans="1:12" s="79" customFormat="1" ht="24.75" customHeight="1" x14ac:dyDescent="0.25">
      <c r="A423" s="81"/>
      <c r="F423" s="81"/>
    </row>
    <row r="424" spans="1:12" s="79" customFormat="1" ht="24.75" customHeight="1" x14ac:dyDescent="0.25">
      <c r="A424" s="81"/>
      <c r="F424" s="81"/>
    </row>
    <row r="425" spans="1:12" s="79" customFormat="1" ht="24.75" customHeight="1" x14ac:dyDescent="0.25">
      <c r="A425" s="81"/>
      <c r="F425" s="81"/>
    </row>
    <row r="426" spans="1:12" s="79" customFormat="1" ht="24.75" customHeight="1" x14ac:dyDescent="0.25">
      <c r="A426" s="81"/>
      <c r="F426" s="81"/>
    </row>
    <row r="427" spans="1:12" s="79" customFormat="1" ht="24.75" customHeight="1" x14ac:dyDescent="0.25">
      <c r="A427" s="81"/>
      <c r="F427" s="81"/>
    </row>
    <row r="428" spans="1:12" s="79" customFormat="1" ht="24.75" customHeight="1" x14ac:dyDescent="0.25">
      <c r="A428" s="81"/>
      <c r="F428" s="81"/>
    </row>
    <row r="429" spans="1:12" s="79" customFormat="1" ht="24.75" customHeight="1" x14ac:dyDescent="0.25">
      <c r="A429" s="81"/>
      <c r="F429" s="81"/>
    </row>
    <row r="430" spans="1:12" s="79" customFormat="1" ht="24.75" customHeight="1" x14ac:dyDescent="0.25">
      <c r="A430" s="81"/>
      <c r="F430" s="81"/>
    </row>
    <row r="431" spans="1:12" s="79" customFormat="1" ht="24.75" customHeight="1" x14ac:dyDescent="0.25">
      <c r="A431" s="81"/>
      <c r="F431" s="81"/>
    </row>
    <row r="432" spans="1:12" s="79" customFormat="1" ht="24.75" customHeight="1" x14ac:dyDescent="0.25">
      <c r="A432" s="81"/>
      <c r="F432" s="81"/>
    </row>
    <row r="433" spans="1:6" s="79" customFormat="1" ht="24.75" customHeight="1" x14ac:dyDescent="0.25">
      <c r="A433" s="81"/>
      <c r="F433" s="81"/>
    </row>
    <row r="434" spans="1:6" s="79" customFormat="1" ht="24.75" customHeight="1" x14ac:dyDescent="0.25">
      <c r="A434" s="81"/>
      <c r="F434" s="81"/>
    </row>
    <row r="435" spans="1:6" s="79" customFormat="1" ht="24.75" customHeight="1" x14ac:dyDescent="0.25">
      <c r="A435" s="81"/>
      <c r="F435" s="81"/>
    </row>
    <row r="436" spans="1:6" s="79" customFormat="1" ht="24.75" customHeight="1" x14ac:dyDescent="0.25">
      <c r="A436" s="81"/>
      <c r="F436" s="81"/>
    </row>
    <row r="437" spans="1:6" s="79" customFormat="1" ht="24.75" customHeight="1" x14ac:dyDescent="0.25">
      <c r="A437" s="81"/>
      <c r="F437" s="81"/>
    </row>
    <row r="438" spans="1:6" s="79" customFormat="1" ht="24.75" customHeight="1" x14ac:dyDescent="0.25">
      <c r="A438" s="81"/>
      <c r="F438" s="81"/>
    </row>
    <row r="439" spans="1:6" s="79" customFormat="1" ht="24.75" customHeight="1" x14ac:dyDescent="0.25">
      <c r="A439" s="81"/>
      <c r="F439" s="81"/>
    </row>
    <row r="440" spans="1:6" s="79" customFormat="1" ht="24.75" customHeight="1" x14ac:dyDescent="0.25">
      <c r="A440" s="81"/>
      <c r="F440" s="81"/>
    </row>
    <row r="441" spans="1:6" s="79" customFormat="1" ht="24.75" customHeight="1" x14ac:dyDescent="0.25">
      <c r="A441" s="81"/>
      <c r="F441" s="81"/>
    </row>
    <row r="442" spans="1:6" s="79" customFormat="1" ht="24.75" customHeight="1" x14ac:dyDescent="0.25">
      <c r="A442" s="81"/>
      <c r="F442" s="81"/>
    </row>
    <row r="443" spans="1:6" s="79" customFormat="1" ht="24.75" customHeight="1" x14ac:dyDescent="0.25">
      <c r="A443" s="81"/>
      <c r="F443" s="81"/>
    </row>
    <row r="444" spans="1:6" s="79" customFormat="1" ht="24.75" customHeight="1" x14ac:dyDescent="0.25">
      <c r="A444" s="81"/>
      <c r="F444" s="81"/>
    </row>
    <row r="445" spans="1:6" s="79" customFormat="1" ht="24.75" customHeight="1" x14ac:dyDescent="0.25">
      <c r="A445" s="81"/>
      <c r="F445" s="81"/>
    </row>
    <row r="446" spans="1:6" s="79" customFormat="1" ht="24.75" customHeight="1" x14ac:dyDescent="0.25">
      <c r="A446" s="81"/>
      <c r="F446" s="81"/>
    </row>
    <row r="447" spans="1:6" s="79" customFormat="1" ht="24.75" customHeight="1" x14ac:dyDescent="0.25">
      <c r="A447" s="81"/>
      <c r="F447" s="81"/>
    </row>
    <row r="448" spans="1:6" s="79" customFormat="1" ht="24.75" customHeight="1" x14ac:dyDescent="0.25">
      <c r="A448" s="81"/>
      <c r="F448" s="81"/>
    </row>
    <row r="449" spans="1:6" s="79" customFormat="1" ht="24.75" customHeight="1" x14ac:dyDescent="0.25">
      <c r="A449" s="81"/>
      <c r="F449" s="81"/>
    </row>
    <row r="450" spans="1:6" s="79" customFormat="1" ht="24.75" customHeight="1" x14ac:dyDescent="0.25">
      <c r="A450" s="81"/>
      <c r="F450" s="81"/>
    </row>
    <row r="451" spans="1:6" s="79" customFormat="1" ht="24.75" customHeight="1" x14ac:dyDescent="0.25">
      <c r="A451" s="81"/>
      <c r="D451" s="82"/>
      <c r="F451" s="81"/>
    </row>
    <row r="452" spans="1:6" s="79" customFormat="1" ht="24.75" customHeight="1" x14ac:dyDescent="0.25">
      <c r="A452" s="81"/>
      <c r="F452" s="81"/>
    </row>
    <row r="453" spans="1:6" s="79" customFormat="1" ht="24.75" customHeight="1" x14ac:dyDescent="0.25">
      <c r="A453" s="81"/>
      <c r="F453" s="81"/>
    </row>
    <row r="454" spans="1:6" s="79" customFormat="1" ht="24.75" customHeight="1" x14ac:dyDescent="0.25">
      <c r="A454" s="81"/>
      <c r="F454" s="81"/>
    </row>
    <row r="455" spans="1:6" s="79" customFormat="1" ht="24.75" customHeight="1" x14ac:dyDescent="0.25">
      <c r="A455" s="81"/>
      <c r="F455" s="81"/>
    </row>
    <row r="456" spans="1:6" s="79" customFormat="1" ht="24.75" customHeight="1" x14ac:dyDescent="0.25">
      <c r="A456" s="81"/>
      <c r="D456" s="82"/>
      <c r="F456" s="81"/>
    </row>
    <row r="457" spans="1:6" s="79" customFormat="1" ht="24.75" customHeight="1" x14ac:dyDescent="0.25">
      <c r="A457" s="81"/>
      <c r="F457" s="81"/>
    </row>
    <row r="458" spans="1:6" s="79" customFormat="1" ht="24.75" customHeight="1" x14ac:dyDescent="0.25">
      <c r="A458" s="81"/>
      <c r="F458" s="81"/>
    </row>
    <row r="459" spans="1:6" s="79" customFormat="1" ht="24.75" customHeight="1" x14ac:dyDescent="0.25">
      <c r="A459" s="81"/>
      <c r="F459" s="81"/>
    </row>
    <row r="460" spans="1:6" s="79" customFormat="1" ht="24.75" customHeight="1" x14ac:dyDescent="0.25">
      <c r="A460" s="81"/>
      <c r="F460" s="81"/>
    </row>
    <row r="461" spans="1:6" s="79" customFormat="1" ht="24.75" customHeight="1" x14ac:dyDescent="0.25">
      <c r="A461" s="81"/>
      <c r="F461" s="81"/>
    </row>
    <row r="462" spans="1:6" s="79" customFormat="1" ht="24.75" customHeight="1" x14ac:dyDescent="0.25">
      <c r="A462" s="81"/>
      <c r="F462" s="81"/>
    </row>
    <row r="463" spans="1:6" s="79" customFormat="1" ht="24.75" customHeight="1" x14ac:dyDescent="0.25">
      <c r="A463" s="81"/>
      <c r="F463" s="81"/>
    </row>
    <row r="464" spans="1:6" s="79" customFormat="1" ht="24.75" customHeight="1" x14ac:dyDescent="0.25">
      <c r="A464" s="81"/>
      <c r="F464" s="81"/>
    </row>
    <row r="465" spans="1:12" s="79" customFormat="1" ht="24.75" customHeight="1" x14ac:dyDescent="0.25">
      <c r="A465" s="81"/>
      <c r="F465" s="81"/>
    </row>
    <row r="466" spans="1:12" s="79" customFormat="1" ht="24.75" customHeight="1" x14ac:dyDescent="0.25">
      <c r="A466" s="81"/>
      <c r="F466" s="81"/>
    </row>
    <row r="467" spans="1:12" s="79" customFormat="1" ht="24.75" customHeight="1" x14ac:dyDescent="0.25">
      <c r="A467" s="81"/>
      <c r="F467" s="81"/>
    </row>
    <row r="468" spans="1:12" s="79" customFormat="1" ht="24.75" customHeight="1" x14ac:dyDescent="0.25">
      <c r="A468" s="81"/>
      <c r="F468" s="81"/>
    </row>
    <row r="469" spans="1:12" s="79" customFormat="1" ht="24.75" customHeight="1" x14ac:dyDescent="0.25">
      <c r="A469" s="81"/>
      <c r="F469" s="81"/>
    </row>
    <row r="470" spans="1:12" s="79" customFormat="1" ht="24.75" customHeight="1" x14ac:dyDescent="0.25">
      <c r="A470" s="81"/>
      <c r="F470" s="81"/>
    </row>
    <row r="471" spans="1:12" s="79" customFormat="1" ht="24.75" customHeight="1" x14ac:dyDescent="0.25">
      <c r="A471" s="81"/>
      <c r="F471" s="81"/>
    </row>
    <row r="472" spans="1:12" s="79" customFormat="1" ht="24.75" customHeight="1" x14ac:dyDescent="0.25">
      <c r="A472" s="81"/>
      <c r="F472" s="81"/>
    </row>
    <row r="473" spans="1:12" s="79" customFormat="1" ht="24.75" customHeight="1" x14ac:dyDescent="0.25">
      <c r="A473" s="85"/>
      <c r="D473" s="82"/>
      <c r="F473" s="81"/>
    </row>
    <row r="474" spans="1:12" s="79" customFormat="1" ht="24.75" customHeight="1" x14ac:dyDescent="0.25">
      <c r="A474" s="85"/>
      <c r="D474" s="82"/>
      <c r="F474" s="81"/>
    </row>
    <row r="475" spans="1:12" s="79" customFormat="1" ht="24.75" customHeight="1" x14ac:dyDescent="0.25">
      <c r="A475" s="85"/>
      <c r="D475" s="82"/>
      <c r="F475" s="81"/>
    </row>
    <row r="476" spans="1:12" s="79" customFormat="1" ht="24.75" customHeight="1" x14ac:dyDescent="0.25">
      <c r="A476" s="81"/>
      <c r="D476" s="82"/>
      <c r="F476" s="81"/>
    </row>
    <row r="477" spans="1:12" s="79" customFormat="1" ht="24.75" customHeight="1" x14ac:dyDescent="0.3">
      <c r="A477" s="80"/>
      <c r="B477" s="80"/>
      <c r="C477" s="80"/>
      <c r="D477" s="86"/>
      <c r="E477" s="80"/>
      <c r="F477" s="80"/>
      <c r="G477" s="80"/>
      <c r="H477" s="80"/>
      <c r="I477" s="80"/>
      <c r="J477" s="80"/>
      <c r="K477" s="80"/>
      <c r="L477" s="88"/>
    </row>
    <row r="478" spans="1:12" s="79" customFormat="1" ht="24.75" customHeight="1" x14ac:dyDescent="0.25">
      <c r="A478" s="81"/>
      <c r="F478" s="81"/>
    </row>
    <row r="479" spans="1:12" s="79" customFormat="1" ht="24.75" customHeight="1" x14ac:dyDescent="0.25">
      <c r="A479" s="81"/>
      <c r="F479" s="81"/>
    </row>
    <row r="480" spans="1:12" s="79" customFormat="1" ht="24.75" customHeight="1" x14ac:dyDescent="0.25">
      <c r="A480" s="81"/>
      <c r="F480" s="81"/>
    </row>
    <row r="481" spans="1:6" s="79" customFormat="1" ht="24.75" customHeight="1" x14ac:dyDescent="0.25">
      <c r="A481" s="81"/>
      <c r="F481" s="81"/>
    </row>
    <row r="482" spans="1:6" s="79" customFormat="1" ht="24.75" customHeight="1" x14ac:dyDescent="0.25">
      <c r="A482" s="81"/>
      <c r="F482" s="81"/>
    </row>
    <row r="483" spans="1:6" s="79" customFormat="1" ht="24.75" customHeight="1" x14ac:dyDescent="0.25">
      <c r="A483" s="81"/>
      <c r="F483" s="81"/>
    </row>
    <row r="484" spans="1:6" s="79" customFormat="1" ht="24.75" customHeight="1" x14ac:dyDescent="0.25">
      <c r="A484" s="81"/>
      <c r="F484" s="81"/>
    </row>
    <row r="485" spans="1:6" s="79" customFormat="1" ht="24.75" customHeight="1" x14ac:dyDescent="0.25">
      <c r="A485" s="81"/>
      <c r="F485" s="81"/>
    </row>
    <row r="486" spans="1:6" s="79" customFormat="1" ht="24.75" customHeight="1" x14ac:dyDescent="0.25">
      <c r="A486" s="81"/>
      <c r="F486" s="81"/>
    </row>
    <row r="487" spans="1:6" s="79" customFormat="1" ht="24.75" customHeight="1" x14ac:dyDescent="0.25">
      <c r="A487" s="81"/>
      <c r="F487" s="81"/>
    </row>
    <row r="488" spans="1:6" s="79" customFormat="1" ht="24.75" customHeight="1" x14ac:dyDescent="0.25">
      <c r="A488" s="81"/>
      <c r="F488" s="81"/>
    </row>
    <row r="489" spans="1:6" s="79" customFormat="1" ht="24.75" customHeight="1" x14ac:dyDescent="0.25">
      <c r="A489" s="81"/>
      <c r="F489" s="81"/>
    </row>
    <row r="490" spans="1:6" s="79" customFormat="1" ht="24.75" customHeight="1" x14ac:dyDescent="0.25">
      <c r="A490" s="81"/>
      <c r="F490" s="81"/>
    </row>
    <row r="491" spans="1:6" s="79" customFormat="1" ht="24.75" customHeight="1" x14ac:dyDescent="0.25">
      <c r="A491" s="81"/>
      <c r="F491" s="81"/>
    </row>
    <row r="492" spans="1:6" s="79" customFormat="1" ht="24.75" customHeight="1" x14ac:dyDescent="0.25">
      <c r="A492" s="81"/>
      <c r="F492" s="81"/>
    </row>
    <row r="493" spans="1:6" s="79" customFormat="1" ht="24.75" customHeight="1" x14ac:dyDescent="0.25">
      <c r="A493" s="81"/>
      <c r="F493" s="81"/>
    </row>
    <row r="494" spans="1:6" s="79" customFormat="1" ht="24.75" customHeight="1" x14ac:dyDescent="0.25">
      <c r="A494" s="81"/>
      <c r="F494" s="81"/>
    </row>
    <row r="495" spans="1:6" s="79" customFormat="1" ht="24.75" customHeight="1" x14ac:dyDescent="0.25">
      <c r="A495" s="81"/>
      <c r="F495" s="81"/>
    </row>
    <row r="496" spans="1:6" s="79" customFormat="1" ht="24.75" customHeight="1" x14ac:dyDescent="0.25">
      <c r="A496" s="81"/>
      <c r="F496" s="81"/>
    </row>
    <row r="497" spans="1:12" s="79" customFormat="1" ht="24.75" customHeight="1" x14ac:dyDescent="0.25">
      <c r="A497" s="81"/>
      <c r="F497" s="81"/>
    </row>
    <row r="498" spans="1:12" s="79" customFormat="1" ht="24.75" customHeight="1" x14ac:dyDescent="0.25">
      <c r="A498" s="81"/>
      <c r="F498" s="81"/>
    </row>
    <row r="499" spans="1:12" s="79" customFormat="1" ht="24.75" customHeight="1" x14ac:dyDescent="0.25">
      <c r="A499" s="81"/>
      <c r="F499" s="81"/>
    </row>
    <row r="500" spans="1:12" s="79" customFormat="1" ht="24.75" customHeight="1" x14ac:dyDescent="0.25">
      <c r="A500" s="81"/>
      <c r="F500" s="81"/>
    </row>
    <row r="501" spans="1:12" s="79" customFormat="1" ht="24.75" customHeight="1" x14ac:dyDescent="0.25">
      <c r="A501" s="81"/>
      <c r="F501" s="81"/>
    </row>
    <row r="502" spans="1:12" s="79" customFormat="1" ht="24.75" customHeight="1" x14ac:dyDescent="0.3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8"/>
    </row>
    <row r="503" spans="1:12" s="79" customFormat="1" ht="24.75" customHeight="1" x14ac:dyDescent="0.25">
      <c r="A503" s="81"/>
      <c r="F503" s="81"/>
    </row>
    <row r="504" spans="1:12" s="79" customFormat="1" ht="24.75" customHeight="1" x14ac:dyDescent="0.25">
      <c r="A504" s="81"/>
      <c r="F504" s="81"/>
    </row>
    <row r="505" spans="1:12" s="79" customFormat="1" ht="24.75" customHeight="1" x14ac:dyDescent="0.25">
      <c r="A505" s="81"/>
      <c r="F505" s="81"/>
    </row>
    <row r="506" spans="1:12" s="79" customFormat="1" ht="24.75" customHeight="1" x14ac:dyDescent="0.25">
      <c r="A506" s="81"/>
      <c r="F506" s="81"/>
    </row>
    <row r="507" spans="1:12" s="79" customFormat="1" ht="24.75" customHeight="1" x14ac:dyDescent="0.25">
      <c r="A507" s="81"/>
      <c r="F507" s="81"/>
    </row>
    <row r="508" spans="1:12" s="79" customFormat="1" ht="24.75" customHeight="1" x14ac:dyDescent="0.25">
      <c r="A508" s="81"/>
      <c r="F508" s="81"/>
    </row>
    <row r="509" spans="1:12" s="79" customFormat="1" ht="24.75" customHeight="1" x14ac:dyDescent="0.25">
      <c r="A509" s="81"/>
      <c r="F509" s="81"/>
    </row>
    <row r="510" spans="1:12" s="79" customFormat="1" ht="24.75" customHeight="1" x14ac:dyDescent="0.25">
      <c r="A510" s="81"/>
      <c r="F510" s="81"/>
    </row>
    <row r="511" spans="1:12" s="79" customFormat="1" ht="24.75" customHeight="1" x14ac:dyDescent="0.25">
      <c r="A511" s="81"/>
      <c r="F511" s="81"/>
    </row>
    <row r="512" spans="1:12" s="79" customFormat="1" ht="24.75" customHeight="1" x14ac:dyDescent="0.25">
      <c r="A512" s="81"/>
      <c r="F512" s="81"/>
    </row>
    <row r="513" spans="1:12" s="79" customFormat="1" ht="24.75" customHeight="1" x14ac:dyDescent="0.25">
      <c r="A513" s="81"/>
      <c r="F513" s="81"/>
    </row>
    <row r="514" spans="1:12" s="79" customFormat="1" ht="24.75" customHeight="1" x14ac:dyDescent="0.25">
      <c r="A514" s="81"/>
      <c r="F514" s="81"/>
    </row>
    <row r="515" spans="1:12" s="79" customFormat="1" ht="24.75" customHeight="1" x14ac:dyDescent="0.25">
      <c r="A515" s="81"/>
      <c r="F515" s="81"/>
    </row>
    <row r="516" spans="1:12" s="79" customFormat="1" ht="24.75" customHeight="1" x14ac:dyDescent="0.25">
      <c r="A516" s="81"/>
      <c r="F516" s="81"/>
    </row>
    <row r="517" spans="1:12" s="79" customFormat="1" ht="24.75" customHeight="1" x14ac:dyDescent="0.25">
      <c r="A517" s="81"/>
      <c r="F517" s="81"/>
    </row>
    <row r="518" spans="1:12" s="79" customFormat="1" ht="24.75" customHeight="1" x14ac:dyDescent="0.25">
      <c r="A518" s="81"/>
      <c r="F518" s="81"/>
    </row>
    <row r="519" spans="1:12" s="79" customFormat="1" ht="24.75" customHeight="1" x14ac:dyDescent="0.3">
      <c r="A519" s="86"/>
      <c r="B519" s="86"/>
      <c r="C519" s="86"/>
      <c r="D519" s="86"/>
      <c r="E519" s="83"/>
      <c r="F519" s="83"/>
      <c r="G519" s="80"/>
      <c r="H519" s="80"/>
      <c r="I519" s="80"/>
      <c r="J519" s="80"/>
      <c r="K519" s="80"/>
      <c r="L519" s="88"/>
    </row>
    <row r="520" spans="1:12" s="79" customFormat="1" ht="24.75" customHeight="1" x14ac:dyDescent="0.25">
      <c r="A520" s="81"/>
      <c r="F520" s="81"/>
    </row>
    <row r="521" spans="1:12" s="79" customFormat="1" ht="24.75" customHeight="1" x14ac:dyDescent="0.25">
      <c r="A521" s="81"/>
      <c r="F521" s="81"/>
    </row>
    <row r="522" spans="1:12" s="79" customFormat="1" ht="24.75" customHeight="1" x14ac:dyDescent="0.25">
      <c r="A522" s="81"/>
      <c r="F522" s="81"/>
    </row>
    <row r="523" spans="1:12" s="79" customFormat="1" ht="24.75" customHeight="1" x14ac:dyDescent="0.25">
      <c r="A523" s="81"/>
      <c r="F523" s="81"/>
    </row>
    <row r="524" spans="1:12" s="79" customFormat="1" ht="24.75" customHeight="1" x14ac:dyDescent="0.25">
      <c r="A524" s="81"/>
      <c r="F524" s="81"/>
    </row>
    <row r="525" spans="1:12" s="79" customFormat="1" ht="24.75" customHeight="1" x14ac:dyDescent="0.25">
      <c r="A525" s="81"/>
      <c r="F525" s="81"/>
    </row>
    <row r="526" spans="1:12" s="79" customFormat="1" ht="24.75" customHeight="1" x14ac:dyDescent="0.25">
      <c r="A526" s="81"/>
      <c r="F526" s="81"/>
    </row>
    <row r="527" spans="1:12" s="79" customFormat="1" ht="24.75" customHeight="1" x14ac:dyDescent="0.25">
      <c r="A527" s="85"/>
      <c r="F527" s="81"/>
    </row>
    <row r="528" spans="1:12" s="79" customFormat="1" ht="24.75" customHeight="1" x14ac:dyDescent="0.25">
      <c r="A528" s="81"/>
      <c r="F528" s="81"/>
    </row>
    <row r="529" spans="1:6" s="79" customFormat="1" ht="24.75" customHeight="1" x14ac:dyDescent="0.25">
      <c r="A529" s="81"/>
      <c r="F529" s="81"/>
    </row>
    <row r="530" spans="1:6" s="79" customFormat="1" ht="24.75" customHeight="1" x14ac:dyDescent="0.25">
      <c r="A530" s="81"/>
      <c r="F530" s="81"/>
    </row>
    <row r="531" spans="1:6" s="79" customFormat="1" ht="24.75" customHeight="1" x14ac:dyDescent="0.25">
      <c r="A531" s="81"/>
      <c r="F531" s="81"/>
    </row>
    <row r="532" spans="1:6" s="79" customFormat="1" ht="24.75" customHeight="1" x14ac:dyDescent="0.25">
      <c r="A532" s="81"/>
      <c r="F532" s="81"/>
    </row>
    <row r="533" spans="1:6" s="79" customFormat="1" ht="24.75" customHeight="1" x14ac:dyDescent="0.25">
      <c r="A533" s="81"/>
      <c r="F533" s="81"/>
    </row>
    <row r="534" spans="1:6" s="79" customFormat="1" ht="24.75" customHeight="1" x14ac:dyDescent="0.25">
      <c r="A534" s="81"/>
      <c r="F534" s="81"/>
    </row>
    <row r="535" spans="1:6" s="79" customFormat="1" ht="24.75" customHeight="1" x14ac:dyDescent="0.25">
      <c r="A535" s="81"/>
      <c r="F535" s="81"/>
    </row>
    <row r="536" spans="1:6" s="79" customFormat="1" ht="24.75" customHeight="1" x14ac:dyDescent="0.25">
      <c r="A536" s="81"/>
      <c r="F536" s="81"/>
    </row>
    <row r="537" spans="1:6" s="79" customFormat="1" ht="24.75" customHeight="1" x14ac:dyDescent="0.25">
      <c r="A537" s="81"/>
      <c r="F537" s="81"/>
    </row>
    <row r="538" spans="1:6" s="79" customFormat="1" ht="24.75" customHeight="1" x14ac:dyDescent="0.25">
      <c r="A538" s="81"/>
      <c r="F538" s="81"/>
    </row>
    <row r="539" spans="1:6" s="79" customFormat="1" ht="24.75" customHeight="1" x14ac:dyDescent="0.25">
      <c r="A539" s="81"/>
      <c r="F539" s="81"/>
    </row>
    <row r="540" spans="1:6" s="79" customFormat="1" ht="24.75" customHeight="1" x14ac:dyDescent="0.25">
      <c r="A540" s="81"/>
      <c r="F540" s="81"/>
    </row>
    <row r="541" spans="1:6" s="79" customFormat="1" ht="24.75" customHeight="1" x14ac:dyDescent="0.25">
      <c r="A541" s="81"/>
      <c r="F541" s="81"/>
    </row>
    <row r="542" spans="1:6" s="79" customFormat="1" ht="24.75" customHeight="1" x14ac:dyDescent="0.25">
      <c r="A542" s="81"/>
      <c r="F542" s="81"/>
    </row>
    <row r="543" spans="1:6" s="79" customFormat="1" ht="24.75" customHeight="1" x14ac:dyDescent="0.25">
      <c r="A543" s="81"/>
      <c r="F543" s="81"/>
    </row>
    <row r="544" spans="1:6" s="79" customFormat="1" ht="24.75" customHeight="1" x14ac:dyDescent="0.25">
      <c r="A544" s="81"/>
      <c r="F544" s="81"/>
    </row>
    <row r="545" spans="1:6" s="79" customFormat="1" ht="24.75" customHeight="1" x14ac:dyDescent="0.25">
      <c r="A545" s="81"/>
      <c r="F545" s="81"/>
    </row>
    <row r="546" spans="1:6" s="79" customFormat="1" ht="24.75" customHeight="1" x14ac:dyDescent="0.25">
      <c r="A546" s="81"/>
      <c r="F546" s="81"/>
    </row>
    <row r="547" spans="1:6" s="79" customFormat="1" ht="24.75" customHeight="1" x14ac:dyDescent="0.25">
      <c r="A547" s="81"/>
      <c r="F547" s="81"/>
    </row>
    <row r="548" spans="1:6" s="79" customFormat="1" ht="24.75" customHeight="1" x14ac:dyDescent="0.25">
      <c r="A548" s="81"/>
      <c r="F548" s="81"/>
    </row>
    <row r="549" spans="1:6" s="79" customFormat="1" ht="24.75" customHeight="1" x14ac:dyDescent="0.25">
      <c r="A549" s="81"/>
      <c r="F549" s="81"/>
    </row>
    <row r="550" spans="1:6" s="79" customFormat="1" ht="24.75" customHeight="1" x14ac:dyDescent="0.25">
      <c r="A550" s="81"/>
      <c r="F550" s="81"/>
    </row>
    <row r="551" spans="1:6" s="79" customFormat="1" ht="24.75" customHeight="1" x14ac:dyDescent="0.25">
      <c r="A551" s="81"/>
      <c r="F551" s="81"/>
    </row>
    <row r="552" spans="1:6" s="79" customFormat="1" ht="24.75" customHeight="1" x14ac:dyDescent="0.25">
      <c r="A552" s="81"/>
      <c r="F552" s="81"/>
    </row>
    <row r="553" spans="1:6" s="79" customFormat="1" ht="24.75" customHeight="1" x14ac:dyDescent="0.25">
      <c r="A553" s="81"/>
      <c r="F553" s="81"/>
    </row>
    <row r="554" spans="1:6" s="79" customFormat="1" ht="24.75" customHeight="1" x14ac:dyDescent="0.25">
      <c r="A554" s="81"/>
      <c r="F554" s="81"/>
    </row>
    <row r="555" spans="1:6" s="79" customFormat="1" ht="24.75" customHeight="1" x14ac:dyDescent="0.25">
      <c r="A555" s="81"/>
      <c r="F555" s="81"/>
    </row>
    <row r="556" spans="1:6" s="79" customFormat="1" ht="24.75" customHeight="1" x14ac:dyDescent="0.25">
      <c r="A556" s="81"/>
      <c r="F556" s="81"/>
    </row>
    <row r="557" spans="1:6" s="79" customFormat="1" ht="24.75" customHeight="1" x14ac:dyDescent="0.25">
      <c r="A557" s="81"/>
      <c r="F557" s="81"/>
    </row>
    <row r="558" spans="1:6" s="79" customFormat="1" ht="24.75" customHeight="1" x14ac:dyDescent="0.25">
      <c r="A558" s="81"/>
      <c r="F558" s="81"/>
    </row>
    <row r="559" spans="1:6" s="79" customFormat="1" ht="24.75" customHeight="1" x14ac:dyDescent="0.25">
      <c r="A559" s="81"/>
      <c r="F559" s="81"/>
    </row>
    <row r="560" spans="1:6" s="79" customFormat="1" ht="24.75" customHeight="1" x14ac:dyDescent="0.25">
      <c r="A560" s="81"/>
      <c r="F560" s="81"/>
    </row>
    <row r="561" spans="1:6" s="79" customFormat="1" ht="24.75" customHeight="1" x14ac:dyDescent="0.25">
      <c r="A561" s="81"/>
      <c r="F561" s="81"/>
    </row>
    <row r="562" spans="1:6" s="79" customFormat="1" ht="24.75" customHeight="1" x14ac:dyDescent="0.25">
      <c r="A562" s="81"/>
      <c r="F562" s="81"/>
    </row>
    <row r="563" spans="1:6" s="79" customFormat="1" ht="24.75" customHeight="1" x14ac:dyDescent="0.25">
      <c r="A563" s="81"/>
      <c r="F563" s="81"/>
    </row>
    <row r="564" spans="1:6" s="79" customFormat="1" ht="24.75" customHeight="1" x14ac:dyDescent="0.25">
      <c r="A564" s="81"/>
      <c r="F564" s="81"/>
    </row>
    <row r="565" spans="1:6" s="79" customFormat="1" ht="24.75" customHeight="1" x14ac:dyDescent="0.25">
      <c r="A565" s="81"/>
      <c r="F565" s="81"/>
    </row>
    <row r="566" spans="1:6" s="79" customFormat="1" ht="24.75" customHeight="1" x14ac:dyDescent="0.25">
      <c r="A566" s="81"/>
      <c r="F566" s="81"/>
    </row>
    <row r="567" spans="1:6" s="79" customFormat="1" ht="24.75" customHeight="1" x14ac:dyDescent="0.25">
      <c r="A567" s="81"/>
      <c r="F567" s="81"/>
    </row>
    <row r="568" spans="1:6" s="79" customFormat="1" ht="24.75" customHeight="1" x14ac:dyDescent="0.25">
      <c r="A568" s="81"/>
      <c r="F568" s="81"/>
    </row>
    <row r="569" spans="1:6" s="79" customFormat="1" ht="24.75" customHeight="1" x14ac:dyDescent="0.25">
      <c r="A569" s="81"/>
      <c r="F569" s="81"/>
    </row>
    <row r="570" spans="1:6" s="79" customFormat="1" ht="24.75" customHeight="1" x14ac:dyDescent="0.25">
      <c r="A570" s="81"/>
      <c r="F570" s="81"/>
    </row>
    <row r="571" spans="1:6" s="79" customFormat="1" ht="24.75" customHeight="1" x14ac:dyDescent="0.25">
      <c r="A571" s="81"/>
      <c r="F571" s="81"/>
    </row>
    <row r="572" spans="1:6" s="79" customFormat="1" ht="24.75" customHeight="1" x14ac:dyDescent="0.25">
      <c r="A572" s="81"/>
      <c r="F572" s="81"/>
    </row>
    <row r="573" spans="1:6" s="79" customFormat="1" ht="24.75" customHeight="1" x14ac:dyDescent="0.25">
      <c r="A573" s="81"/>
      <c r="F573" s="81"/>
    </row>
    <row r="574" spans="1:6" s="79" customFormat="1" ht="24.75" customHeight="1" x14ac:dyDescent="0.25">
      <c r="A574" s="81"/>
      <c r="F574" s="81"/>
    </row>
    <row r="575" spans="1:6" s="79" customFormat="1" ht="24.75" customHeight="1" x14ac:dyDescent="0.25">
      <c r="A575" s="81"/>
      <c r="F575" s="81"/>
    </row>
    <row r="576" spans="1:6" s="79" customFormat="1" ht="24.75" customHeight="1" x14ac:dyDescent="0.25">
      <c r="A576" s="81"/>
      <c r="F576" s="81"/>
    </row>
    <row r="577" spans="1:6" s="79" customFormat="1" ht="24.75" customHeight="1" x14ac:dyDescent="0.25">
      <c r="A577" s="81"/>
      <c r="F577" s="81"/>
    </row>
    <row r="578" spans="1:6" s="79" customFormat="1" ht="24.75" customHeight="1" x14ac:dyDescent="0.25">
      <c r="A578" s="81"/>
      <c r="F578" s="81"/>
    </row>
    <row r="579" spans="1:6" s="79" customFormat="1" ht="24.75" customHeight="1" x14ac:dyDescent="0.25">
      <c r="A579" s="81"/>
      <c r="F579" s="81"/>
    </row>
    <row r="580" spans="1:6" s="79" customFormat="1" ht="24.75" customHeight="1" x14ac:dyDescent="0.25">
      <c r="A580" s="81"/>
      <c r="F580" s="81"/>
    </row>
    <row r="581" spans="1:6" s="79" customFormat="1" ht="24.75" customHeight="1" x14ac:dyDescent="0.25">
      <c r="A581" s="81"/>
      <c r="F581" s="81"/>
    </row>
    <row r="582" spans="1:6" s="79" customFormat="1" ht="24.75" customHeight="1" x14ac:dyDescent="0.25">
      <c r="A582" s="81"/>
      <c r="F582" s="81"/>
    </row>
    <row r="583" spans="1:6" s="79" customFormat="1" ht="24.75" customHeight="1" x14ac:dyDescent="0.25">
      <c r="A583" s="81"/>
      <c r="F583" s="81"/>
    </row>
    <row r="584" spans="1:6" s="79" customFormat="1" ht="24.75" customHeight="1" x14ac:dyDescent="0.25">
      <c r="A584" s="81"/>
      <c r="F584" s="81"/>
    </row>
    <row r="585" spans="1:6" s="79" customFormat="1" ht="24.75" customHeight="1" x14ac:dyDescent="0.25">
      <c r="A585" s="81"/>
      <c r="F585" s="81"/>
    </row>
    <row r="586" spans="1:6" s="79" customFormat="1" ht="24.75" customHeight="1" x14ac:dyDescent="0.25">
      <c r="A586" s="81"/>
      <c r="F586" s="81"/>
    </row>
    <row r="587" spans="1:6" s="79" customFormat="1" ht="24.75" customHeight="1" x14ac:dyDescent="0.25">
      <c r="A587" s="81"/>
      <c r="F587" s="81"/>
    </row>
    <row r="588" spans="1:6" s="79" customFormat="1" ht="24.75" customHeight="1" x14ac:dyDescent="0.25">
      <c r="A588" s="81"/>
      <c r="F588" s="81"/>
    </row>
    <row r="589" spans="1:6" s="79" customFormat="1" ht="24.75" customHeight="1" x14ac:dyDescent="0.25">
      <c r="A589" s="81"/>
      <c r="F589" s="81"/>
    </row>
    <row r="590" spans="1:6" s="79" customFormat="1" ht="24.75" customHeight="1" x14ac:dyDescent="0.25">
      <c r="A590" s="81"/>
      <c r="F590" s="81"/>
    </row>
    <row r="591" spans="1:6" s="79" customFormat="1" ht="24.75" customHeight="1" x14ac:dyDescent="0.25">
      <c r="A591" s="81"/>
      <c r="F591" s="81"/>
    </row>
    <row r="592" spans="1:6" s="79" customFormat="1" ht="24.75" customHeight="1" x14ac:dyDescent="0.25">
      <c r="A592" s="81"/>
      <c r="F592" s="81"/>
    </row>
    <row r="593" spans="1:6" s="79" customFormat="1" ht="24.75" customHeight="1" x14ac:dyDescent="0.25">
      <c r="A593" s="81"/>
      <c r="F593" s="81"/>
    </row>
    <row r="594" spans="1:6" s="79" customFormat="1" ht="24.75" customHeight="1" x14ac:dyDescent="0.25">
      <c r="A594" s="81"/>
      <c r="F594" s="81"/>
    </row>
    <row r="595" spans="1:6" s="79" customFormat="1" ht="24.75" customHeight="1" x14ac:dyDescent="0.25">
      <c r="A595" s="81"/>
      <c r="F595" s="81"/>
    </row>
    <row r="596" spans="1:6" s="79" customFormat="1" ht="24.75" customHeight="1" x14ac:dyDescent="0.25">
      <c r="A596" s="81"/>
      <c r="F596" s="81"/>
    </row>
    <row r="597" spans="1:6" s="79" customFormat="1" ht="24.75" customHeight="1" x14ac:dyDescent="0.25">
      <c r="A597" s="81"/>
      <c r="F597" s="81"/>
    </row>
    <row r="598" spans="1:6" s="79" customFormat="1" ht="24.75" customHeight="1" x14ac:dyDescent="0.25">
      <c r="A598" s="81"/>
      <c r="F598" s="81"/>
    </row>
    <row r="599" spans="1:6" s="79" customFormat="1" ht="24.75" customHeight="1" x14ac:dyDescent="0.25">
      <c r="A599" s="81"/>
      <c r="F599" s="81"/>
    </row>
    <row r="600" spans="1:6" s="79" customFormat="1" ht="24.75" customHeight="1" x14ac:dyDescent="0.25">
      <c r="A600" s="81"/>
      <c r="F600" s="81"/>
    </row>
    <row r="601" spans="1:6" s="79" customFormat="1" ht="24.75" customHeight="1" x14ac:dyDescent="0.25">
      <c r="A601" s="81"/>
      <c r="F601" s="81"/>
    </row>
    <row r="602" spans="1:6" s="79" customFormat="1" ht="24.75" customHeight="1" x14ac:dyDescent="0.25">
      <c r="A602" s="81"/>
      <c r="F602" s="81"/>
    </row>
    <row r="603" spans="1:6" s="79" customFormat="1" ht="24.75" customHeight="1" x14ac:dyDescent="0.25">
      <c r="A603" s="81"/>
      <c r="F603" s="81"/>
    </row>
    <row r="604" spans="1:6" s="79" customFormat="1" ht="24.75" customHeight="1" x14ac:dyDescent="0.25">
      <c r="A604" s="81"/>
      <c r="F604" s="81"/>
    </row>
    <row r="605" spans="1:6" s="79" customFormat="1" ht="24.75" customHeight="1" x14ac:dyDescent="0.25">
      <c r="A605" s="81"/>
      <c r="F605" s="81"/>
    </row>
    <row r="606" spans="1:6" s="79" customFormat="1" ht="24.75" customHeight="1" x14ac:dyDescent="0.25">
      <c r="A606" s="81"/>
      <c r="F606" s="81"/>
    </row>
    <row r="607" spans="1:6" s="79" customFormat="1" ht="24.75" customHeight="1" x14ac:dyDescent="0.25">
      <c r="A607" s="81"/>
      <c r="F607" s="81"/>
    </row>
    <row r="608" spans="1:6" s="79" customFormat="1" ht="24.75" customHeight="1" x14ac:dyDescent="0.25">
      <c r="A608" s="81"/>
      <c r="F608" s="81"/>
    </row>
    <row r="609" spans="1:12" s="79" customFormat="1" ht="24.75" customHeight="1" x14ac:dyDescent="0.25">
      <c r="A609" s="81"/>
      <c r="F609" s="81"/>
    </row>
    <row r="610" spans="1:12" s="79" customFormat="1" ht="24.75" customHeight="1" x14ac:dyDescent="0.25">
      <c r="A610" s="81"/>
      <c r="F610" s="81"/>
    </row>
    <row r="611" spans="1:12" s="79" customFormat="1" ht="24.75" customHeight="1" x14ac:dyDescent="0.25">
      <c r="A611" s="81"/>
      <c r="F611" s="81"/>
    </row>
    <row r="612" spans="1:12" s="79" customFormat="1" ht="24.75" customHeight="1" x14ac:dyDescent="0.25">
      <c r="A612" s="81"/>
      <c r="F612" s="81"/>
    </row>
    <row r="613" spans="1:12" s="79" customFormat="1" ht="24.75" customHeight="1" x14ac:dyDescent="0.3">
      <c r="A613" s="86"/>
      <c r="B613" s="86"/>
      <c r="C613" s="86"/>
      <c r="D613" s="86"/>
      <c r="E613" s="83"/>
      <c r="F613" s="83"/>
      <c r="G613" s="80"/>
      <c r="H613" s="80"/>
      <c r="I613" s="80"/>
      <c r="J613" s="80"/>
      <c r="K613" s="80"/>
      <c r="L613" s="88"/>
    </row>
    <row r="614" spans="1:12" s="79" customFormat="1" ht="24.75" customHeight="1" x14ac:dyDescent="0.25">
      <c r="A614" s="81"/>
      <c r="F614" s="81"/>
    </row>
    <row r="615" spans="1:12" s="79" customFormat="1" ht="24.75" customHeight="1" x14ac:dyDescent="0.25">
      <c r="A615" s="85"/>
      <c r="F615" s="81"/>
    </row>
    <row r="616" spans="1:12" s="79" customFormat="1" ht="24.75" customHeight="1" x14ac:dyDescent="0.25">
      <c r="A616" s="81"/>
      <c r="F616" s="81"/>
    </row>
    <row r="617" spans="1:12" s="79" customFormat="1" ht="24.75" customHeight="1" x14ac:dyDescent="0.25">
      <c r="A617" s="81"/>
      <c r="F617" s="81"/>
    </row>
    <row r="618" spans="1:12" s="79" customFormat="1" ht="24.75" customHeight="1" x14ac:dyDescent="0.25">
      <c r="A618" s="81"/>
      <c r="F618" s="81"/>
    </row>
    <row r="619" spans="1:12" s="79" customFormat="1" ht="24.75" customHeight="1" x14ac:dyDescent="0.25">
      <c r="A619" s="81"/>
      <c r="F619" s="81"/>
    </row>
    <row r="620" spans="1:12" s="79" customFormat="1" ht="24.75" customHeight="1" x14ac:dyDescent="0.25">
      <c r="A620" s="81"/>
      <c r="F620" s="81"/>
    </row>
    <row r="621" spans="1:12" s="79" customFormat="1" ht="24.75" customHeight="1" x14ac:dyDescent="0.25">
      <c r="A621" s="81"/>
      <c r="F621" s="81"/>
    </row>
    <row r="622" spans="1:12" s="79" customFormat="1" ht="24.75" customHeight="1" x14ac:dyDescent="0.25">
      <c r="A622" s="81"/>
      <c r="F622" s="81"/>
    </row>
    <row r="623" spans="1:12" s="79" customFormat="1" ht="24.75" customHeight="1" x14ac:dyDescent="0.25">
      <c r="A623" s="81"/>
      <c r="F623" s="81"/>
    </row>
    <row r="624" spans="1:12" s="79" customFormat="1" ht="24.75" customHeight="1" x14ac:dyDescent="0.25">
      <c r="A624" s="81"/>
      <c r="F624" s="81"/>
    </row>
    <row r="625" spans="1:6" s="79" customFormat="1" ht="24.75" customHeight="1" x14ac:dyDescent="0.25">
      <c r="A625" s="81"/>
      <c r="F625" s="81"/>
    </row>
    <row r="626" spans="1:6" s="79" customFormat="1" ht="24.75" customHeight="1" x14ac:dyDescent="0.25">
      <c r="A626" s="81"/>
      <c r="F626" s="81"/>
    </row>
    <row r="627" spans="1:6" s="79" customFormat="1" ht="24.75" customHeight="1" x14ac:dyDescent="0.25">
      <c r="A627" s="81"/>
      <c r="F627" s="81"/>
    </row>
    <row r="628" spans="1:6" s="79" customFormat="1" ht="24.75" customHeight="1" x14ac:dyDescent="0.25">
      <c r="A628" s="81"/>
      <c r="F628" s="81"/>
    </row>
    <row r="629" spans="1:6" s="79" customFormat="1" ht="24.75" customHeight="1" x14ac:dyDescent="0.25">
      <c r="A629" s="81"/>
      <c r="F629" s="81"/>
    </row>
    <row r="630" spans="1:6" s="79" customFormat="1" ht="24.75" customHeight="1" x14ac:dyDescent="0.25">
      <c r="A630" s="81"/>
      <c r="F630" s="81"/>
    </row>
    <row r="631" spans="1:6" s="79" customFormat="1" ht="24.75" customHeight="1" x14ac:dyDescent="0.25">
      <c r="A631" s="81"/>
      <c r="F631" s="81"/>
    </row>
    <row r="632" spans="1:6" s="79" customFormat="1" ht="24.75" customHeight="1" x14ac:dyDescent="0.25">
      <c r="A632" s="81"/>
      <c r="F632" s="81"/>
    </row>
    <row r="633" spans="1:6" s="79" customFormat="1" ht="24.75" customHeight="1" x14ac:dyDescent="0.25">
      <c r="A633" s="81"/>
      <c r="F633" s="81"/>
    </row>
    <row r="634" spans="1:6" s="79" customFormat="1" ht="24.75" customHeight="1" x14ac:dyDescent="0.25">
      <c r="A634" s="81"/>
      <c r="F634" s="81"/>
    </row>
    <row r="635" spans="1:6" s="79" customFormat="1" ht="24.75" customHeight="1" x14ac:dyDescent="0.25">
      <c r="A635" s="81"/>
      <c r="F635" s="81"/>
    </row>
    <row r="636" spans="1:6" s="79" customFormat="1" ht="24.75" customHeight="1" x14ac:dyDescent="0.25">
      <c r="A636" s="81"/>
      <c r="F636" s="81"/>
    </row>
    <row r="637" spans="1:6" s="79" customFormat="1" ht="24.75" customHeight="1" x14ac:dyDescent="0.25">
      <c r="A637" s="81"/>
      <c r="F637" s="81"/>
    </row>
    <row r="638" spans="1:6" s="79" customFormat="1" ht="24.75" customHeight="1" x14ac:dyDescent="0.25">
      <c r="A638" s="81"/>
      <c r="F638" s="81"/>
    </row>
    <row r="639" spans="1:6" s="79" customFormat="1" ht="24.75" customHeight="1" x14ac:dyDescent="0.25">
      <c r="A639" s="81"/>
      <c r="F639" s="81"/>
    </row>
    <row r="640" spans="1:6" s="79" customFormat="1" ht="24.75" customHeight="1" x14ac:dyDescent="0.25">
      <c r="A640" s="81"/>
      <c r="F640" s="81"/>
    </row>
    <row r="641" spans="1:6" s="79" customFormat="1" ht="24.75" customHeight="1" x14ac:dyDescent="0.25">
      <c r="A641" s="81"/>
      <c r="F641" s="81"/>
    </row>
    <row r="642" spans="1:6" s="79" customFormat="1" ht="24.75" customHeight="1" x14ac:dyDescent="0.25">
      <c r="A642" s="81"/>
      <c r="F642" s="81"/>
    </row>
    <row r="643" spans="1:6" s="79" customFormat="1" ht="24.75" customHeight="1" x14ac:dyDescent="0.25">
      <c r="A643" s="81"/>
      <c r="F643" s="81"/>
    </row>
    <row r="644" spans="1:6" s="79" customFormat="1" ht="24.75" customHeight="1" x14ac:dyDescent="0.25">
      <c r="A644" s="81"/>
      <c r="F644" s="81"/>
    </row>
    <row r="645" spans="1:6" s="79" customFormat="1" ht="24.75" customHeight="1" x14ac:dyDescent="0.25">
      <c r="A645" s="81"/>
      <c r="F645" s="81"/>
    </row>
    <row r="646" spans="1:6" s="79" customFormat="1" ht="24.75" customHeight="1" x14ac:dyDescent="0.25">
      <c r="A646" s="81"/>
      <c r="F646" s="81"/>
    </row>
    <row r="647" spans="1:6" s="79" customFormat="1" ht="24.75" customHeight="1" x14ac:dyDescent="0.25">
      <c r="A647" s="81"/>
      <c r="F647" s="81"/>
    </row>
    <row r="648" spans="1:6" s="79" customFormat="1" ht="24.75" customHeight="1" x14ac:dyDescent="0.25">
      <c r="A648" s="81"/>
      <c r="F648" s="81"/>
    </row>
    <row r="649" spans="1:6" s="79" customFormat="1" ht="24.75" customHeight="1" x14ac:dyDescent="0.25">
      <c r="A649" s="81"/>
      <c r="F649" s="81"/>
    </row>
    <row r="650" spans="1:6" s="79" customFormat="1" ht="24.75" customHeight="1" x14ac:dyDescent="0.25">
      <c r="A650" s="81"/>
      <c r="F650" s="81"/>
    </row>
    <row r="651" spans="1:6" s="79" customFormat="1" ht="24.75" customHeight="1" x14ac:dyDescent="0.25">
      <c r="A651" s="81"/>
      <c r="F651" s="81"/>
    </row>
    <row r="652" spans="1:6" s="79" customFormat="1" ht="24.75" customHeight="1" x14ac:dyDescent="0.25">
      <c r="A652" s="81"/>
      <c r="F652" s="81"/>
    </row>
    <row r="653" spans="1:6" s="79" customFormat="1" ht="24.75" customHeight="1" x14ac:dyDescent="0.25">
      <c r="A653" s="81"/>
      <c r="F653" s="81"/>
    </row>
    <row r="654" spans="1:6" s="79" customFormat="1" ht="24.75" customHeight="1" x14ac:dyDescent="0.25">
      <c r="A654" s="81"/>
      <c r="F654" s="81"/>
    </row>
    <row r="655" spans="1:6" s="79" customFormat="1" ht="24.75" customHeight="1" x14ac:dyDescent="0.25">
      <c r="A655" s="81"/>
      <c r="F655" s="81"/>
    </row>
    <row r="656" spans="1:6" s="79" customFormat="1" ht="24.75" customHeight="1" x14ac:dyDescent="0.25">
      <c r="A656" s="81"/>
      <c r="F656" s="81"/>
    </row>
    <row r="657" spans="1:6" s="79" customFormat="1" ht="24.75" customHeight="1" x14ac:dyDescent="0.25">
      <c r="A657" s="81"/>
      <c r="F657" s="81"/>
    </row>
    <row r="658" spans="1:6" s="79" customFormat="1" ht="24.75" customHeight="1" x14ac:dyDescent="0.25">
      <c r="A658" s="81"/>
      <c r="F658" s="81"/>
    </row>
    <row r="659" spans="1:6" s="79" customFormat="1" ht="24.75" customHeight="1" x14ac:dyDescent="0.25">
      <c r="A659" s="81"/>
      <c r="F659" s="81"/>
    </row>
    <row r="660" spans="1:6" s="79" customFormat="1" ht="24.75" customHeight="1" x14ac:dyDescent="0.25">
      <c r="A660" s="81"/>
      <c r="F660" s="81"/>
    </row>
    <row r="661" spans="1:6" s="79" customFormat="1" ht="24.75" customHeight="1" x14ac:dyDescent="0.25">
      <c r="A661" s="81"/>
      <c r="F661" s="81"/>
    </row>
    <row r="662" spans="1:6" s="79" customFormat="1" ht="24.75" customHeight="1" x14ac:dyDescent="0.25">
      <c r="A662" s="81"/>
      <c r="F662" s="81"/>
    </row>
    <row r="663" spans="1:6" s="79" customFormat="1" ht="24.75" customHeight="1" x14ac:dyDescent="0.25">
      <c r="A663" s="81"/>
      <c r="F663" s="81"/>
    </row>
    <row r="664" spans="1:6" s="79" customFormat="1" ht="24.75" customHeight="1" x14ac:dyDescent="0.25">
      <c r="A664" s="81"/>
      <c r="F664" s="81"/>
    </row>
    <row r="665" spans="1:6" s="79" customFormat="1" ht="24.75" customHeight="1" x14ac:dyDescent="0.25">
      <c r="A665" s="81"/>
      <c r="F665" s="81"/>
    </row>
    <row r="666" spans="1:6" s="79" customFormat="1" ht="24.75" customHeight="1" x14ac:dyDescent="0.25">
      <c r="A666" s="81"/>
      <c r="F666" s="81"/>
    </row>
    <row r="667" spans="1:6" s="79" customFormat="1" ht="24.75" customHeight="1" x14ac:dyDescent="0.25">
      <c r="A667" s="81"/>
      <c r="F667" s="81"/>
    </row>
    <row r="668" spans="1:6" s="79" customFormat="1" ht="24.75" customHeight="1" x14ac:dyDescent="0.25">
      <c r="A668" s="81"/>
      <c r="F668" s="81"/>
    </row>
    <row r="669" spans="1:6" s="79" customFormat="1" ht="24.75" customHeight="1" x14ac:dyDescent="0.25">
      <c r="A669" s="81"/>
      <c r="F669" s="81"/>
    </row>
    <row r="670" spans="1:6" s="79" customFormat="1" ht="24.75" customHeight="1" x14ac:dyDescent="0.25">
      <c r="A670" s="81"/>
      <c r="F670" s="81"/>
    </row>
    <row r="671" spans="1:6" s="79" customFormat="1" ht="24.75" customHeight="1" x14ac:dyDescent="0.25">
      <c r="A671" s="81"/>
      <c r="F671" s="81"/>
    </row>
    <row r="672" spans="1:6" s="79" customFormat="1" ht="24.75" customHeight="1" x14ac:dyDescent="0.25">
      <c r="A672" s="81"/>
      <c r="F672" s="81"/>
    </row>
    <row r="673" spans="1:6" s="79" customFormat="1" ht="24.75" customHeight="1" x14ac:dyDescent="0.25">
      <c r="A673" s="81"/>
      <c r="F673" s="81"/>
    </row>
    <row r="674" spans="1:6" s="79" customFormat="1" ht="24.75" customHeight="1" x14ac:dyDescent="0.25">
      <c r="A674" s="81"/>
      <c r="F674" s="81"/>
    </row>
    <row r="675" spans="1:6" s="79" customFormat="1" ht="24.75" customHeight="1" x14ac:dyDescent="0.25">
      <c r="A675" s="81"/>
      <c r="F675" s="81"/>
    </row>
    <row r="676" spans="1:6" s="79" customFormat="1" ht="24.75" customHeight="1" x14ac:dyDescent="0.25">
      <c r="A676" s="81"/>
      <c r="F676" s="81"/>
    </row>
    <row r="677" spans="1:6" s="79" customFormat="1" ht="24.75" customHeight="1" x14ac:dyDescent="0.25">
      <c r="A677" s="81"/>
      <c r="F677" s="81"/>
    </row>
    <row r="678" spans="1:6" s="79" customFormat="1" ht="24.75" customHeight="1" x14ac:dyDescent="0.25">
      <c r="A678" s="81"/>
      <c r="F678" s="81"/>
    </row>
    <row r="679" spans="1:6" s="79" customFormat="1" ht="24.75" customHeight="1" x14ac:dyDescent="0.25">
      <c r="A679" s="81"/>
      <c r="F679" s="81"/>
    </row>
    <row r="680" spans="1:6" s="79" customFormat="1" ht="24.75" customHeight="1" x14ac:dyDescent="0.25">
      <c r="A680" s="81"/>
      <c r="F680" s="81"/>
    </row>
    <row r="681" spans="1:6" s="79" customFormat="1" ht="24.75" customHeight="1" x14ac:dyDescent="0.25">
      <c r="A681" s="81"/>
      <c r="F681" s="81"/>
    </row>
    <row r="682" spans="1:6" s="79" customFormat="1" ht="24.75" customHeight="1" x14ac:dyDescent="0.25">
      <c r="A682" s="81"/>
      <c r="F682" s="81"/>
    </row>
    <row r="683" spans="1:6" s="79" customFormat="1" ht="24.75" customHeight="1" x14ac:dyDescent="0.25">
      <c r="A683" s="81"/>
      <c r="F683" s="81"/>
    </row>
    <row r="684" spans="1:6" s="79" customFormat="1" ht="24.75" customHeight="1" x14ac:dyDescent="0.25">
      <c r="A684" s="81"/>
      <c r="F684" s="81"/>
    </row>
    <row r="685" spans="1:6" s="79" customFormat="1" ht="24.75" customHeight="1" x14ac:dyDescent="0.25">
      <c r="A685" s="81"/>
      <c r="F685" s="81"/>
    </row>
    <row r="686" spans="1:6" s="79" customFormat="1" ht="24.75" customHeight="1" x14ac:dyDescent="0.25">
      <c r="A686" s="81"/>
      <c r="F686" s="81"/>
    </row>
    <row r="687" spans="1:6" s="79" customFormat="1" ht="24.75" customHeight="1" x14ac:dyDescent="0.25">
      <c r="A687" s="81"/>
      <c r="F687" s="81"/>
    </row>
    <row r="688" spans="1:6" s="79" customFormat="1" ht="24.75" customHeight="1" x14ac:dyDescent="0.25">
      <c r="A688" s="81"/>
      <c r="F688" s="81"/>
    </row>
    <row r="689" spans="1:6" s="79" customFormat="1" ht="24.75" customHeight="1" x14ac:dyDescent="0.25">
      <c r="A689" s="81"/>
      <c r="F689" s="81"/>
    </row>
    <row r="690" spans="1:6" s="79" customFormat="1" ht="24.75" customHeight="1" x14ac:dyDescent="0.25">
      <c r="A690" s="81"/>
      <c r="F690" s="81"/>
    </row>
    <row r="691" spans="1:6" s="79" customFormat="1" ht="24.75" customHeight="1" x14ac:dyDescent="0.25">
      <c r="A691" s="81"/>
      <c r="F691" s="81"/>
    </row>
    <row r="692" spans="1:6" s="79" customFormat="1" ht="24.75" customHeight="1" x14ac:dyDescent="0.25">
      <c r="A692" s="81"/>
      <c r="F692" s="81"/>
    </row>
    <row r="693" spans="1:6" s="79" customFormat="1" ht="24.75" customHeight="1" x14ac:dyDescent="0.25">
      <c r="A693" s="81"/>
      <c r="F693" s="81"/>
    </row>
    <row r="694" spans="1:6" s="79" customFormat="1" ht="24.75" customHeight="1" x14ac:dyDescent="0.25">
      <c r="A694" s="81"/>
      <c r="F694" s="81"/>
    </row>
    <row r="695" spans="1:6" s="79" customFormat="1" ht="24.75" customHeight="1" x14ac:dyDescent="0.25">
      <c r="A695" s="81"/>
      <c r="F695" s="81"/>
    </row>
    <row r="696" spans="1:6" s="79" customFormat="1" ht="24.75" customHeight="1" x14ac:dyDescent="0.25">
      <c r="A696" s="81"/>
      <c r="F696" s="81"/>
    </row>
    <row r="697" spans="1:6" s="79" customFormat="1" ht="24.75" customHeight="1" x14ac:dyDescent="0.25">
      <c r="A697" s="81"/>
      <c r="F697" s="81"/>
    </row>
    <row r="698" spans="1:6" s="79" customFormat="1" ht="24.75" customHeight="1" x14ac:dyDescent="0.25">
      <c r="A698" s="81"/>
      <c r="F698" s="81"/>
    </row>
    <row r="699" spans="1:6" s="79" customFormat="1" ht="24.75" customHeight="1" x14ac:dyDescent="0.25">
      <c r="A699" s="81"/>
      <c r="F699" s="81"/>
    </row>
    <row r="700" spans="1:6" s="79" customFormat="1" ht="24.75" customHeight="1" x14ac:dyDescent="0.25">
      <c r="A700" s="81"/>
      <c r="F700" s="81"/>
    </row>
    <row r="701" spans="1:6" s="79" customFormat="1" ht="24.75" customHeight="1" x14ac:dyDescent="0.25">
      <c r="A701" s="81"/>
      <c r="F701" s="81"/>
    </row>
    <row r="702" spans="1:6" s="79" customFormat="1" ht="24.75" customHeight="1" x14ac:dyDescent="0.25">
      <c r="A702" s="81"/>
      <c r="F702" s="81"/>
    </row>
    <row r="703" spans="1:6" s="79" customFormat="1" ht="24.75" customHeight="1" x14ac:dyDescent="0.25">
      <c r="A703" s="81"/>
      <c r="F703" s="81"/>
    </row>
    <row r="704" spans="1:6" s="79" customFormat="1" ht="24.75" customHeight="1" x14ac:dyDescent="0.25">
      <c r="A704" s="81"/>
      <c r="F704" s="81"/>
    </row>
    <row r="705" spans="1:6" s="79" customFormat="1" ht="24.75" customHeight="1" x14ac:dyDescent="0.25">
      <c r="A705" s="81"/>
      <c r="F705" s="81"/>
    </row>
    <row r="706" spans="1:6" s="79" customFormat="1" ht="24.75" customHeight="1" x14ac:dyDescent="0.25">
      <c r="A706" s="81"/>
      <c r="F706" s="81"/>
    </row>
    <row r="707" spans="1:6" s="79" customFormat="1" ht="24.75" customHeight="1" x14ac:dyDescent="0.25">
      <c r="A707" s="81"/>
      <c r="F707" s="81"/>
    </row>
    <row r="708" spans="1:6" s="79" customFormat="1" ht="24.75" customHeight="1" x14ac:dyDescent="0.25">
      <c r="A708" s="81"/>
      <c r="F708" s="81"/>
    </row>
    <row r="709" spans="1:6" s="79" customFormat="1" ht="24.75" customHeight="1" x14ac:dyDescent="0.25">
      <c r="A709" s="81"/>
      <c r="F709" s="81"/>
    </row>
    <row r="710" spans="1:6" s="79" customFormat="1" ht="24.75" customHeight="1" x14ac:dyDescent="0.25">
      <c r="A710" s="81"/>
      <c r="F710" s="81"/>
    </row>
    <row r="711" spans="1:6" s="79" customFormat="1" ht="24.75" customHeight="1" x14ac:dyDescent="0.25">
      <c r="A711" s="81"/>
      <c r="F711" s="81"/>
    </row>
    <row r="712" spans="1:6" s="79" customFormat="1" ht="24.75" customHeight="1" x14ac:dyDescent="0.25">
      <c r="A712" s="81"/>
      <c r="F712" s="81"/>
    </row>
    <row r="713" spans="1:6" s="79" customFormat="1" ht="24.75" customHeight="1" x14ac:dyDescent="0.25">
      <c r="A713" s="81"/>
      <c r="F713" s="81"/>
    </row>
    <row r="714" spans="1:6" s="79" customFormat="1" ht="24.75" customHeight="1" x14ac:dyDescent="0.25">
      <c r="A714" s="81"/>
      <c r="F714" s="81"/>
    </row>
    <row r="715" spans="1:6" s="79" customFormat="1" ht="24.75" customHeight="1" x14ac:dyDescent="0.25">
      <c r="A715" s="81"/>
      <c r="F715" s="81"/>
    </row>
    <row r="716" spans="1:6" s="79" customFormat="1" ht="24.75" customHeight="1" x14ac:dyDescent="0.25">
      <c r="A716" s="81"/>
      <c r="F716" s="81"/>
    </row>
    <row r="717" spans="1:6" s="79" customFormat="1" ht="24.75" customHeight="1" x14ac:dyDescent="0.25">
      <c r="A717" s="81"/>
      <c r="F717" s="81"/>
    </row>
    <row r="718" spans="1:6" s="79" customFormat="1" ht="24.75" customHeight="1" x14ac:dyDescent="0.25">
      <c r="A718" s="81"/>
      <c r="F718" s="81"/>
    </row>
    <row r="719" spans="1:6" s="79" customFormat="1" ht="24.75" customHeight="1" x14ac:dyDescent="0.25">
      <c r="A719" s="81"/>
      <c r="F719" s="81"/>
    </row>
    <row r="720" spans="1:6" s="79" customFormat="1" ht="24.75" customHeight="1" x14ac:dyDescent="0.25">
      <c r="A720" s="81"/>
      <c r="F720" s="81"/>
    </row>
    <row r="721" spans="1:6" s="79" customFormat="1" ht="24.75" customHeight="1" x14ac:dyDescent="0.25">
      <c r="A721" s="81"/>
      <c r="F721" s="81"/>
    </row>
    <row r="722" spans="1:6" s="79" customFormat="1" ht="24.75" customHeight="1" x14ac:dyDescent="0.25">
      <c r="A722" s="81"/>
      <c r="F722" s="81"/>
    </row>
    <row r="723" spans="1:6" s="79" customFormat="1" ht="24.75" customHeight="1" x14ac:dyDescent="0.25">
      <c r="A723" s="81"/>
      <c r="F723" s="81"/>
    </row>
    <row r="724" spans="1:6" s="79" customFormat="1" ht="24.75" customHeight="1" x14ac:dyDescent="0.25">
      <c r="A724" s="81"/>
      <c r="F724" s="81"/>
    </row>
    <row r="725" spans="1:6" s="79" customFormat="1" ht="24.75" customHeight="1" x14ac:dyDescent="0.25">
      <c r="A725" s="81"/>
      <c r="F725" s="81"/>
    </row>
    <row r="726" spans="1:6" s="79" customFormat="1" ht="24.75" customHeight="1" x14ac:dyDescent="0.25">
      <c r="A726" s="81"/>
      <c r="F726" s="81"/>
    </row>
    <row r="727" spans="1:6" s="79" customFormat="1" ht="24.75" customHeight="1" x14ac:dyDescent="0.25">
      <c r="A727" s="81"/>
      <c r="F727" s="81"/>
    </row>
    <row r="728" spans="1:6" s="79" customFormat="1" ht="24.75" customHeight="1" x14ac:dyDescent="0.25">
      <c r="A728" s="81"/>
      <c r="F728" s="81"/>
    </row>
    <row r="729" spans="1:6" s="79" customFormat="1" ht="24.75" customHeight="1" x14ac:dyDescent="0.25">
      <c r="A729" s="81"/>
      <c r="F729" s="81"/>
    </row>
    <row r="730" spans="1:6" s="79" customFormat="1" ht="24.75" customHeight="1" x14ac:dyDescent="0.25">
      <c r="A730" s="81"/>
      <c r="F730" s="81"/>
    </row>
    <row r="731" spans="1:6" s="79" customFormat="1" ht="24.75" customHeight="1" x14ac:dyDescent="0.25">
      <c r="A731" s="81"/>
      <c r="F731" s="81"/>
    </row>
    <row r="732" spans="1:6" s="79" customFormat="1" ht="24.75" customHeight="1" x14ac:dyDescent="0.25">
      <c r="A732" s="81"/>
      <c r="F732" s="81"/>
    </row>
    <row r="733" spans="1:6" s="79" customFormat="1" ht="24.75" customHeight="1" x14ac:dyDescent="0.25">
      <c r="A733" s="81"/>
      <c r="F733" s="81"/>
    </row>
    <row r="734" spans="1:6" s="79" customFormat="1" ht="24.75" customHeight="1" x14ac:dyDescent="0.25">
      <c r="A734" s="81"/>
      <c r="F734" s="81"/>
    </row>
    <row r="735" spans="1:6" s="79" customFormat="1" ht="24.75" customHeight="1" x14ac:dyDescent="0.25">
      <c r="A735" s="81"/>
      <c r="F735" s="81"/>
    </row>
    <row r="736" spans="1:6" s="79" customFormat="1" ht="24.75" customHeight="1" x14ac:dyDescent="0.25">
      <c r="A736" s="81"/>
      <c r="F736" s="81"/>
    </row>
    <row r="737" spans="1:6" s="79" customFormat="1" ht="24.75" customHeight="1" x14ac:dyDescent="0.25">
      <c r="A737" s="81"/>
      <c r="F737" s="81"/>
    </row>
    <row r="738" spans="1:6" s="79" customFormat="1" ht="24.75" customHeight="1" x14ac:dyDescent="0.25">
      <c r="A738" s="81"/>
      <c r="F738" s="81"/>
    </row>
    <row r="739" spans="1:6" s="79" customFormat="1" ht="24.75" customHeight="1" x14ac:dyDescent="0.25">
      <c r="A739" s="81"/>
      <c r="F739" s="81"/>
    </row>
    <row r="740" spans="1:6" s="79" customFormat="1" ht="24.75" customHeight="1" x14ac:dyDescent="0.25">
      <c r="A740" s="81"/>
      <c r="F740" s="81"/>
    </row>
    <row r="741" spans="1:6" s="79" customFormat="1" ht="24.75" customHeight="1" x14ac:dyDescent="0.25">
      <c r="A741" s="81"/>
      <c r="F741" s="81"/>
    </row>
    <row r="742" spans="1:6" s="79" customFormat="1" ht="24.75" customHeight="1" x14ac:dyDescent="0.25">
      <c r="A742" s="81"/>
      <c r="F742" s="81"/>
    </row>
    <row r="743" spans="1:6" s="79" customFormat="1" ht="24.75" customHeight="1" x14ac:dyDescent="0.25">
      <c r="A743" s="81"/>
      <c r="F743" s="81"/>
    </row>
    <row r="744" spans="1:6" s="79" customFormat="1" ht="24.75" customHeight="1" x14ac:dyDescent="0.25">
      <c r="A744" s="81"/>
      <c r="F744" s="81"/>
    </row>
    <row r="745" spans="1:6" s="79" customFormat="1" ht="24.75" customHeight="1" x14ac:dyDescent="0.25">
      <c r="A745" s="81"/>
      <c r="F745" s="81"/>
    </row>
    <row r="746" spans="1:6" s="79" customFormat="1" ht="24.75" customHeight="1" x14ac:dyDescent="0.25">
      <c r="A746" s="81"/>
      <c r="F746" s="81"/>
    </row>
    <row r="747" spans="1:6" s="79" customFormat="1" ht="24.75" customHeight="1" x14ac:dyDescent="0.25">
      <c r="A747" s="81"/>
      <c r="F747" s="81"/>
    </row>
    <row r="748" spans="1:6" s="79" customFormat="1" ht="24.75" customHeight="1" x14ac:dyDescent="0.25">
      <c r="A748" s="81"/>
      <c r="F748" s="81"/>
    </row>
    <row r="749" spans="1:6" s="79" customFormat="1" ht="24.75" customHeight="1" x14ac:dyDescent="0.25">
      <c r="A749" s="81"/>
      <c r="F749" s="81"/>
    </row>
    <row r="750" spans="1:6" s="79" customFormat="1" ht="24.75" customHeight="1" x14ac:dyDescent="0.25">
      <c r="A750" s="81"/>
      <c r="F750" s="81"/>
    </row>
    <row r="751" spans="1:6" s="79" customFormat="1" ht="24.75" customHeight="1" x14ac:dyDescent="0.25">
      <c r="A751" s="81"/>
      <c r="F751" s="81"/>
    </row>
    <row r="752" spans="1:6" s="79" customFormat="1" ht="24.75" customHeight="1" x14ac:dyDescent="0.25">
      <c r="A752" s="81"/>
      <c r="F752" s="81"/>
    </row>
    <row r="753" spans="1:6" s="79" customFormat="1" ht="24.75" customHeight="1" x14ac:dyDescent="0.25">
      <c r="A753" s="81"/>
      <c r="F753" s="81"/>
    </row>
    <row r="754" spans="1:6" s="79" customFormat="1" ht="24.75" customHeight="1" x14ac:dyDescent="0.25">
      <c r="A754" s="81"/>
      <c r="F754" s="81"/>
    </row>
    <row r="755" spans="1:6" s="79" customFormat="1" ht="24.75" customHeight="1" x14ac:dyDescent="0.25">
      <c r="A755" s="81"/>
      <c r="F755" s="81"/>
    </row>
    <row r="756" spans="1:6" s="79" customFormat="1" ht="24.75" customHeight="1" x14ac:dyDescent="0.25">
      <c r="A756" s="81"/>
      <c r="F756" s="81"/>
    </row>
    <row r="757" spans="1:6" s="79" customFormat="1" ht="24.75" customHeight="1" x14ac:dyDescent="0.25">
      <c r="A757" s="81"/>
      <c r="F757" s="81"/>
    </row>
    <row r="758" spans="1:6" s="79" customFormat="1" ht="24.75" customHeight="1" x14ac:dyDescent="0.25">
      <c r="A758" s="81"/>
      <c r="F758" s="81"/>
    </row>
    <row r="759" spans="1:6" s="79" customFormat="1" ht="24.75" customHeight="1" x14ac:dyDescent="0.25">
      <c r="A759" s="81"/>
      <c r="F759" s="81"/>
    </row>
    <row r="760" spans="1:6" s="79" customFormat="1" ht="24.75" customHeight="1" x14ac:dyDescent="0.25">
      <c r="A760" s="81"/>
      <c r="F760" s="81"/>
    </row>
    <row r="761" spans="1:6" s="79" customFormat="1" ht="24.75" customHeight="1" x14ac:dyDescent="0.25">
      <c r="A761" s="81"/>
      <c r="F761" s="81"/>
    </row>
    <row r="762" spans="1:6" s="79" customFormat="1" ht="24.75" customHeight="1" x14ac:dyDescent="0.25">
      <c r="A762" s="81"/>
      <c r="F762" s="81"/>
    </row>
    <row r="763" spans="1:6" s="79" customFormat="1" ht="24.75" customHeight="1" x14ac:dyDescent="0.25">
      <c r="A763" s="81"/>
      <c r="F763" s="81"/>
    </row>
    <row r="764" spans="1:6" s="79" customFormat="1" ht="24.75" customHeight="1" x14ac:dyDescent="0.25">
      <c r="A764" s="81"/>
      <c r="F764" s="81"/>
    </row>
    <row r="765" spans="1:6" s="79" customFormat="1" ht="24.75" customHeight="1" x14ac:dyDescent="0.25">
      <c r="A765" s="81"/>
      <c r="F765" s="81"/>
    </row>
    <row r="766" spans="1:6" s="79" customFormat="1" ht="24.75" customHeight="1" x14ac:dyDescent="0.25">
      <c r="A766" s="81"/>
      <c r="F766" s="81"/>
    </row>
    <row r="767" spans="1:6" s="79" customFormat="1" ht="24.75" customHeight="1" x14ac:dyDescent="0.25">
      <c r="A767" s="81"/>
      <c r="F767" s="81"/>
    </row>
    <row r="768" spans="1:6" s="79" customFormat="1" ht="24.75" customHeight="1" x14ac:dyDescent="0.25">
      <c r="A768" s="81"/>
      <c r="F768" s="81"/>
    </row>
    <row r="769" spans="1:6" s="79" customFormat="1" ht="24.75" customHeight="1" x14ac:dyDescent="0.25">
      <c r="A769" s="81"/>
      <c r="F769" s="81"/>
    </row>
    <row r="770" spans="1:6" s="79" customFormat="1" ht="24.75" customHeight="1" x14ac:dyDescent="0.25">
      <c r="A770" s="81"/>
      <c r="F770" s="81"/>
    </row>
    <row r="771" spans="1:6" s="79" customFormat="1" ht="24.75" customHeight="1" x14ac:dyDescent="0.25">
      <c r="A771" s="81"/>
      <c r="F771" s="81"/>
    </row>
    <row r="772" spans="1:6" s="79" customFormat="1" ht="24.75" customHeight="1" x14ac:dyDescent="0.25">
      <c r="A772" s="81"/>
      <c r="F772" s="81"/>
    </row>
    <row r="773" spans="1:6" s="79" customFormat="1" ht="24.75" customHeight="1" x14ac:dyDescent="0.25">
      <c r="A773" s="81"/>
      <c r="F773" s="81"/>
    </row>
    <row r="774" spans="1:6" s="79" customFormat="1" ht="24.75" customHeight="1" x14ac:dyDescent="0.25">
      <c r="A774" s="81"/>
      <c r="F774" s="81"/>
    </row>
    <row r="775" spans="1:6" s="79" customFormat="1" ht="24.75" customHeight="1" x14ac:dyDescent="0.25">
      <c r="A775" s="81"/>
      <c r="F775" s="81"/>
    </row>
    <row r="776" spans="1:6" s="79" customFormat="1" ht="24.75" customHeight="1" x14ac:dyDescent="0.25">
      <c r="A776" s="81"/>
      <c r="F776" s="81"/>
    </row>
    <row r="777" spans="1:6" s="79" customFormat="1" ht="24.75" customHeight="1" x14ac:dyDescent="0.25">
      <c r="A777" s="81"/>
      <c r="F777" s="81"/>
    </row>
    <row r="778" spans="1:6" s="79" customFormat="1" ht="24.75" customHeight="1" x14ac:dyDescent="0.25">
      <c r="A778" s="81"/>
      <c r="F778" s="81"/>
    </row>
    <row r="779" spans="1:6" s="79" customFormat="1" ht="24.75" customHeight="1" x14ac:dyDescent="0.25">
      <c r="A779" s="81"/>
      <c r="F779" s="81"/>
    </row>
    <row r="780" spans="1:6" s="79" customFormat="1" ht="24.75" customHeight="1" x14ac:dyDescent="0.25">
      <c r="A780" s="81"/>
      <c r="F780" s="81"/>
    </row>
    <row r="781" spans="1:6" s="79" customFormat="1" ht="24.75" customHeight="1" x14ac:dyDescent="0.25">
      <c r="A781" s="81"/>
      <c r="F781" s="81"/>
    </row>
    <row r="782" spans="1:6" s="79" customFormat="1" ht="24.75" customHeight="1" x14ac:dyDescent="0.25">
      <c r="A782" s="81"/>
      <c r="F782" s="81"/>
    </row>
    <row r="783" spans="1:6" s="79" customFormat="1" ht="24.75" customHeight="1" x14ac:dyDescent="0.25">
      <c r="A783" s="81"/>
      <c r="F783" s="81"/>
    </row>
    <row r="784" spans="1:6" s="79" customFormat="1" ht="24.75" customHeight="1" x14ac:dyDescent="0.25">
      <c r="A784" s="81"/>
      <c r="F784" s="81"/>
    </row>
    <row r="785" spans="1:6" s="79" customFormat="1" ht="24.75" customHeight="1" x14ac:dyDescent="0.25">
      <c r="A785" s="81"/>
      <c r="F785" s="81"/>
    </row>
    <row r="786" spans="1:6" s="79" customFormat="1" ht="24.75" customHeight="1" x14ac:dyDescent="0.25">
      <c r="A786" s="81"/>
      <c r="F786" s="81"/>
    </row>
    <row r="787" spans="1:6" s="79" customFormat="1" ht="24.75" customHeight="1" x14ac:dyDescent="0.25">
      <c r="A787" s="81"/>
      <c r="F787" s="81"/>
    </row>
    <row r="788" spans="1:6" s="79" customFormat="1" ht="24.75" customHeight="1" x14ac:dyDescent="0.25">
      <c r="A788" s="81"/>
      <c r="F788" s="81"/>
    </row>
    <row r="789" spans="1:6" s="79" customFormat="1" ht="24.75" customHeight="1" x14ac:dyDescent="0.25">
      <c r="A789" s="81"/>
      <c r="F789" s="81"/>
    </row>
    <row r="790" spans="1:6" s="79" customFormat="1" ht="24.75" customHeight="1" x14ac:dyDescent="0.25">
      <c r="A790" s="81"/>
      <c r="F790" s="81"/>
    </row>
    <row r="791" spans="1:6" s="79" customFormat="1" ht="24.75" customHeight="1" x14ac:dyDescent="0.25">
      <c r="A791" s="81"/>
      <c r="F791" s="81"/>
    </row>
    <row r="792" spans="1:6" s="79" customFormat="1" ht="24.75" customHeight="1" x14ac:dyDescent="0.25">
      <c r="A792" s="81"/>
      <c r="F792" s="81"/>
    </row>
    <row r="793" spans="1:6" s="79" customFormat="1" ht="24.75" customHeight="1" x14ac:dyDescent="0.25">
      <c r="A793" s="81"/>
      <c r="F793" s="81"/>
    </row>
    <row r="794" spans="1:6" s="79" customFormat="1" ht="24.75" customHeight="1" x14ac:dyDescent="0.25">
      <c r="A794" s="81"/>
      <c r="F794" s="81"/>
    </row>
    <row r="795" spans="1:6" s="79" customFormat="1" ht="24.75" customHeight="1" x14ac:dyDescent="0.25">
      <c r="A795" s="81"/>
      <c r="F795" s="81"/>
    </row>
    <row r="796" spans="1:6" s="79" customFormat="1" ht="24.75" customHeight="1" x14ac:dyDescent="0.25">
      <c r="A796" s="81"/>
      <c r="F796" s="81"/>
    </row>
    <row r="797" spans="1:6" s="79" customFormat="1" ht="24.75" customHeight="1" x14ac:dyDescent="0.25">
      <c r="A797" s="81"/>
      <c r="F797" s="81"/>
    </row>
    <row r="798" spans="1:6" s="79" customFormat="1" ht="24.75" customHeight="1" x14ac:dyDescent="0.25">
      <c r="A798" s="81"/>
      <c r="F798" s="81"/>
    </row>
    <row r="799" spans="1:6" s="79" customFormat="1" ht="24.75" customHeight="1" x14ac:dyDescent="0.25">
      <c r="A799" s="81"/>
      <c r="F799" s="81"/>
    </row>
    <row r="800" spans="1:6" s="79" customFormat="1" ht="24.75" customHeight="1" x14ac:dyDescent="0.25">
      <c r="A800" s="81"/>
      <c r="F800" s="81"/>
    </row>
    <row r="801" spans="1:6" s="79" customFormat="1" ht="24.75" customHeight="1" x14ac:dyDescent="0.25">
      <c r="A801" s="81"/>
      <c r="F801" s="81"/>
    </row>
    <row r="802" spans="1:6" s="79" customFormat="1" ht="24.75" customHeight="1" x14ac:dyDescent="0.25">
      <c r="A802" s="81"/>
      <c r="F802" s="81"/>
    </row>
    <row r="803" spans="1:6" s="79" customFormat="1" ht="24.75" customHeight="1" x14ac:dyDescent="0.25">
      <c r="A803" s="81"/>
      <c r="F803" s="81"/>
    </row>
    <row r="804" spans="1:6" s="79" customFormat="1" ht="24.75" customHeight="1" x14ac:dyDescent="0.25">
      <c r="A804" s="81"/>
      <c r="F804" s="81"/>
    </row>
    <row r="805" spans="1:6" s="79" customFormat="1" ht="24.75" customHeight="1" x14ac:dyDescent="0.25">
      <c r="A805" s="81"/>
      <c r="F805" s="81"/>
    </row>
    <row r="806" spans="1:6" s="79" customFormat="1" ht="24.75" customHeight="1" x14ac:dyDescent="0.25">
      <c r="A806" s="81"/>
      <c r="F806" s="81"/>
    </row>
    <row r="807" spans="1:6" s="79" customFormat="1" ht="24.75" customHeight="1" x14ac:dyDescent="0.25">
      <c r="A807" s="81"/>
      <c r="F807" s="81"/>
    </row>
    <row r="808" spans="1:6" s="79" customFormat="1" ht="24.75" customHeight="1" x14ac:dyDescent="0.25">
      <c r="A808" s="81"/>
      <c r="F808" s="81"/>
    </row>
    <row r="809" spans="1:6" s="79" customFormat="1" ht="24.75" customHeight="1" x14ac:dyDescent="0.25">
      <c r="A809" s="81"/>
      <c r="F809" s="81"/>
    </row>
    <row r="810" spans="1:6" s="79" customFormat="1" ht="24.75" customHeight="1" x14ac:dyDescent="0.25">
      <c r="A810" s="81"/>
      <c r="F810" s="81"/>
    </row>
    <row r="811" spans="1:6" s="79" customFormat="1" ht="24.75" customHeight="1" x14ac:dyDescent="0.25">
      <c r="A811" s="81"/>
      <c r="F811" s="81"/>
    </row>
    <row r="812" spans="1:6" s="79" customFormat="1" ht="24.75" customHeight="1" x14ac:dyDescent="0.25">
      <c r="A812" s="81"/>
      <c r="F812" s="81"/>
    </row>
    <row r="813" spans="1:6" s="79" customFormat="1" ht="24.75" customHeight="1" x14ac:dyDescent="0.25">
      <c r="A813" s="81"/>
      <c r="F813" s="81"/>
    </row>
    <row r="814" spans="1:6" s="79" customFormat="1" ht="24.75" customHeight="1" x14ac:dyDescent="0.25">
      <c r="A814" s="81"/>
      <c r="F814" s="81"/>
    </row>
    <row r="815" spans="1:6" s="79" customFormat="1" ht="24.75" customHeight="1" x14ac:dyDescent="0.25">
      <c r="A815" s="81"/>
      <c r="F815" s="81"/>
    </row>
    <row r="816" spans="1:6" s="79" customFormat="1" ht="24.75" customHeight="1" x14ac:dyDescent="0.25">
      <c r="A816" s="81"/>
      <c r="F816" s="81"/>
    </row>
    <row r="817" spans="1:12" s="79" customFormat="1" ht="24.75" customHeight="1" x14ac:dyDescent="0.25">
      <c r="A817" s="81"/>
      <c r="F817" s="81"/>
    </row>
    <row r="818" spans="1:12" s="79" customFormat="1" ht="24.75" customHeight="1" x14ac:dyDescent="0.25">
      <c r="A818" s="81"/>
      <c r="F818" s="81"/>
    </row>
    <row r="819" spans="1:12" s="79" customFormat="1" ht="24.75" customHeight="1" x14ac:dyDescent="0.25">
      <c r="A819" s="81"/>
      <c r="F819" s="81"/>
    </row>
    <row r="820" spans="1:12" s="79" customFormat="1" ht="24.75" customHeight="1" x14ac:dyDescent="0.25">
      <c r="A820" s="81"/>
      <c r="F820" s="81"/>
    </row>
    <row r="821" spans="1:12" s="79" customFormat="1" ht="24.75" customHeight="1" x14ac:dyDescent="0.25">
      <c r="A821" s="81"/>
      <c r="F821" s="81"/>
    </row>
    <row r="822" spans="1:12" s="79" customFormat="1" ht="24.75" customHeight="1" x14ac:dyDescent="0.25">
      <c r="A822" s="81"/>
      <c r="F822" s="81"/>
    </row>
    <row r="823" spans="1:12" s="79" customFormat="1" ht="24.75" customHeight="1" x14ac:dyDescent="0.25">
      <c r="A823" s="81"/>
      <c r="F823" s="81"/>
    </row>
    <row r="824" spans="1:12" s="79" customFormat="1" ht="24.75" customHeight="1" x14ac:dyDescent="0.25">
      <c r="A824" s="81"/>
      <c r="F824" s="81"/>
    </row>
    <row r="825" spans="1:12" s="79" customFormat="1" ht="24.75" customHeight="1" x14ac:dyDescent="0.25">
      <c r="A825" s="81"/>
      <c r="F825" s="81"/>
    </row>
    <row r="826" spans="1:12" s="79" customFormat="1" ht="24.75" customHeight="1" x14ac:dyDescent="0.3">
      <c r="A826" s="80"/>
      <c r="B826" s="80"/>
      <c r="C826" s="80"/>
      <c r="D826" s="86"/>
      <c r="E826" s="80"/>
      <c r="F826" s="80"/>
      <c r="G826" s="80"/>
      <c r="H826" s="80"/>
      <c r="I826" s="80"/>
      <c r="J826" s="80"/>
      <c r="K826" s="80"/>
      <c r="L826" s="88"/>
    </row>
    <row r="827" spans="1:12" s="79" customFormat="1" ht="24.75" customHeight="1" x14ac:dyDescent="0.25">
      <c r="A827" s="81"/>
      <c r="F827" s="81"/>
    </row>
    <row r="828" spans="1:12" s="79" customFormat="1" ht="24.75" customHeight="1" x14ac:dyDescent="0.25">
      <c r="A828" s="81"/>
      <c r="F828" s="81"/>
    </row>
    <row r="829" spans="1:12" s="79" customFormat="1" ht="24.75" customHeight="1" x14ac:dyDescent="0.25">
      <c r="A829" s="81"/>
      <c r="F829" s="81"/>
    </row>
    <row r="830" spans="1:12" s="79" customFormat="1" ht="24.75" customHeight="1" x14ac:dyDescent="0.25">
      <c r="A830" s="81"/>
      <c r="F830" s="81"/>
    </row>
    <row r="831" spans="1:12" s="79" customFormat="1" ht="24.75" customHeight="1" x14ac:dyDescent="0.25">
      <c r="A831" s="81"/>
      <c r="F831" s="81"/>
    </row>
    <row r="832" spans="1:12" s="79" customFormat="1" ht="24.75" customHeight="1" x14ac:dyDescent="0.25">
      <c r="A832" s="81"/>
      <c r="F832" s="81"/>
    </row>
    <row r="833" spans="1:6" s="79" customFormat="1" ht="24.75" customHeight="1" x14ac:dyDescent="0.25">
      <c r="A833" s="81"/>
      <c r="F833" s="81"/>
    </row>
    <row r="834" spans="1:6" s="79" customFormat="1" ht="24.75" customHeight="1" x14ac:dyDescent="0.25">
      <c r="A834" s="81"/>
      <c r="F834" s="81"/>
    </row>
    <row r="835" spans="1:6" s="79" customFormat="1" ht="24.75" customHeight="1" x14ac:dyDescent="0.25">
      <c r="A835" s="81"/>
      <c r="F835" s="81"/>
    </row>
    <row r="836" spans="1:6" s="79" customFormat="1" ht="24.75" customHeight="1" x14ac:dyDescent="0.25">
      <c r="A836" s="81"/>
      <c r="F836" s="81"/>
    </row>
    <row r="837" spans="1:6" s="79" customFormat="1" ht="24.75" customHeight="1" x14ac:dyDescent="0.25">
      <c r="A837" s="81"/>
      <c r="F837" s="81"/>
    </row>
    <row r="838" spans="1:6" s="79" customFormat="1" ht="24.75" customHeight="1" x14ac:dyDescent="0.25">
      <c r="A838" s="81"/>
      <c r="F838" s="81"/>
    </row>
    <row r="839" spans="1:6" s="79" customFormat="1" ht="24.75" customHeight="1" x14ac:dyDescent="0.25">
      <c r="A839" s="81"/>
      <c r="F839" s="81"/>
    </row>
    <row r="840" spans="1:6" s="79" customFormat="1" ht="24.75" customHeight="1" x14ac:dyDescent="0.25">
      <c r="A840" s="81"/>
      <c r="F840" s="81"/>
    </row>
    <row r="841" spans="1:6" s="79" customFormat="1" ht="24.75" customHeight="1" x14ac:dyDescent="0.25">
      <c r="A841" s="81"/>
      <c r="F841" s="81"/>
    </row>
    <row r="842" spans="1:6" s="79" customFormat="1" ht="24.75" customHeight="1" x14ac:dyDescent="0.25">
      <c r="A842" s="81"/>
      <c r="F842" s="81"/>
    </row>
    <row r="843" spans="1:6" s="79" customFormat="1" ht="24.75" customHeight="1" x14ac:dyDescent="0.25">
      <c r="A843" s="81"/>
      <c r="F843" s="81"/>
    </row>
    <row r="844" spans="1:6" s="79" customFormat="1" ht="24.75" customHeight="1" x14ac:dyDescent="0.25">
      <c r="A844" s="81"/>
      <c r="F844" s="81"/>
    </row>
    <row r="845" spans="1:6" s="79" customFormat="1" ht="24.75" customHeight="1" x14ac:dyDescent="0.25">
      <c r="A845" s="81"/>
      <c r="F845" s="81"/>
    </row>
    <row r="846" spans="1:6" s="79" customFormat="1" ht="24.75" customHeight="1" x14ac:dyDescent="0.25">
      <c r="A846" s="81"/>
      <c r="F846" s="81"/>
    </row>
    <row r="847" spans="1:6" s="79" customFormat="1" ht="24.75" customHeight="1" x14ac:dyDescent="0.25">
      <c r="A847" s="81"/>
      <c r="F847" s="81"/>
    </row>
    <row r="848" spans="1:6" s="79" customFormat="1" ht="24.75" customHeight="1" x14ac:dyDescent="0.25">
      <c r="A848" s="81"/>
      <c r="F848" s="81"/>
    </row>
    <row r="849" spans="1:6" s="79" customFormat="1" ht="24.75" customHeight="1" x14ac:dyDescent="0.25">
      <c r="A849" s="81"/>
      <c r="F849" s="81"/>
    </row>
    <row r="850" spans="1:6" s="79" customFormat="1" ht="24.75" customHeight="1" x14ac:dyDescent="0.25">
      <c r="A850" s="81"/>
      <c r="F850" s="81"/>
    </row>
    <row r="851" spans="1:6" s="79" customFormat="1" ht="24.75" customHeight="1" x14ac:dyDescent="0.25">
      <c r="A851" s="81"/>
      <c r="F851" s="81"/>
    </row>
    <row r="852" spans="1:6" s="79" customFormat="1" ht="24.75" customHeight="1" x14ac:dyDescent="0.25">
      <c r="A852" s="81"/>
      <c r="F852" s="81"/>
    </row>
    <row r="853" spans="1:6" s="79" customFormat="1" ht="24.75" customHeight="1" x14ac:dyDescent="0.25">
      <c r="A853" s="81"/>
      <c r="F853" s="81"/>
    </row>
    <row r="854" spans="1:6" s="79" customFormat="1" ht="24.75" customHeight="1" x14ac:dyDescent="0.25">
      <c r="A854" s="81"/>
      <c r="F854" s="81"/>
    </row>
    <row r="855" spans="1:6" s="79" customFormat="1" ht="24.75" customHeight="1" x14ac:dyDescent="0.25">
      <c r="A855" s="81"/>
      <c r="F855" s="81"/>
    </row>
    <row r="856" spans="1:6" s="79" customFormat="1" ht="24.75" customHeight="1" x14ac:dyDescent="0.25">
      <c r="A856" s="81"/>
      <c r="F856" s="81"/>
    </row>
    <row r="857" spans="1:6" s="79" customFormat="1" ht="24.75" customHeight="1" x14ac:dyDescent="0.25">
      <c r="A857" s="81"/>
      <c r="F857" s="81"/>
    </row>
    <row r="858" spans="1:6" s="79" customFormat="1" ht="24.75" customHeight="1" x14ac:dyDescent="0.25">
      <c r="A858" s="81"/>
      <c r="F858" s="81"/>
    </row>
    <row r="859" spans="1:6" s="79" customFormat="1" ht="24.75" customHeight="1" x14ac:dyDescent="0.25">
      <c r="A859" s="81"/>
      <c r="F859" s="81"/>
    </row>
    <row r="860" spans="1:6" s="79" customFormat="1" ht="24.75" customHeight="1" x14ac:dyDescent="0.25">
      <c r="A860" s="81"/>
      <c r="F860" s="81"/>
    </row>
    <row r="861" spans="1:6" s="79" customFormat="1" ht="24.75" customHeight="1" x14ac:dyDescent="0.25">
      <c r="A861" s="81"/>
      <c r="F861" s="81"/>
    </row>
    <row r="862" spans="1:6" s="79" customFormat="1" ht="24.75" customHeight="1" x14ac:dyDescent="0.25">
      <c r="A862" s="81"/>
      <c r="F862" s="81"/>
    </row>
    <row r="863" spans="1:6" s="79" customFormat="1" ht="24.75" customHeight="1" x14ac:dyDescent="0.25">
      <c r="A863" s="81"/>
      <c r="F863" s="81"/>
    </row>
    <row r="864" spans="1:6" s="79" customFormat="1" ht="24.75" customHeight="1" x14ac:dyDescent="0.25">
      <c r="A864" s="81"/>
      <c r="F864" s="81"/>
    </row>
    <row r="865" spans="1:6" s="79" customFormat="1" ht="24.75" customHeight="1" x14ac:dyDescent="0.25">
      <c r="A865" s="81"/>
      <c r="F865" s="81"/>
    </row>
    <row r="866" spans="1:6" s="79" customFormat="1" ht="24.75" customHeight="1" x14ac:dyDescent="0.25">
      <c r="A866" s="81"/>
      <c r="F866" s="81"/>
    </row>
    <row r="867" spans="1:6" s="79" customFormat="1" ht="24.75" customHeight="1" x14ac:dyDescent="0.25">
      <c r="A867" s="81"/>
      <c r="F867" s="81"/>
    </row>
    <row r="868" spans="1:6" s="79" customFormat="1" ht="24.75" customHeight="1" x14ac:dyDescent="0.25">
      <c r="A868" s="81"/>
      <c r="F868" s="81"/>
    </row>
    <row r="869" spans="1:6" s="79" customFormat="1" ht="24.75" customHeight="1" x14ac:dyDescent="0.25">
      <c r="A869" s="81"/>
      <c r="F869" s="81"/>
    </row>
    <row r="870" spans="1:6" s="79" customFormat="1" ht="24.75" customHeight="1" x14ac:dyDescent="0.25">
      <c r="A870" s="81"/>
      <c r="F870" s="81"/>
    </row>
    <row r="871" spans="1:6" s="79" customFormat="1" ht="24.75" customHeight="1" x14ac:dyDescent="0.25">
      <c r="A871" s="81"/>
      <c r="F871" s="81"/>
    </row>
    <row r="872" spans="1:6" s="79" customFormat="1" ht="24.75" customHeight="1" x14ac:dyDescent="0.25">
      <c r="A872" s="81"/>
      <c r="F872" s="81"/>
    </row>
    <row r="873" spans="1:6" s="79" customFormat="1" ht="24.75" customHeight="1" x14ac:dyDescent="0.25">
      <c r="A873" s="81"/>
      <c r="F873" s="81"/>
    </row>
    <row r="874" spans="1:6" s="79" customFormat="1" ht="24.75" customHeight="1" x14ac:dyDescent="0.25">
      <c r="A874" s="81"/>
      <c r="F874" s="81"/>
    </row>
    <row r="875" spans="1:6" s="79" customFormat="1" ht="24.75" customHeight="1" x14ac:dyDescent="0.25">
      <c r="A875" s="81"/>
      <c r="F875" s="81"/>
    </row>
    <row r="876" spans="1:6" s="79" customFormat="1" ht="24.75" customHeight="1" x14ac:dyDescent="0.25">
      <c r="A876" s="81"/>
      <c r="F876" s="81"/>
    </row>
    <row r="877" spans="1:6" s="79" customFormat="1" ht="24.75" customHeight="1" x14ac:dyDescent="0.25">
      <c r="A877" s="81"/>
      <c r="F877" s="81"/>
    </row>
    <row r="878" spans="1:6" s="79" customFormat="1" ht="24.75" customHeight="1" x14ac:dyDescent="0.25">
      <c r="A878" s="81"/>
      <c r="F878" s="81"/>
    </row>
    <row r="879" spans="1:6" s="79" customFormat="1" ht="24.75" customHeight="1" x14ac:dyDescent="0.25">
      <c r="A879" s="81"/>
      <c r="F879" s="81"/>
    </row>
    <row r="880" spans="1:6" s="79" customFormat="1" ht="24.75" customHeight="1" x14ac:dyDescent="0.25">
      <c r="A880" s="81"/>
      <c r="F880" s="81"/>
    </row>
    <row r="881" spans="1:6" s="79" customFormat="1" ht="24.75" customHeight="1" x14ac:dyDescent="0.25">
      <c r="A881" s="81"/>
      <c r="F881" s="81"/>
    </row>
    <row r="882" spans="1:6" s="79" customFormat="1" ht="24.75" customHeight="1" x14ac:dyDescent="0.25">
      <c r="A882" s="81"/>
      <c r="F882" s="81"/>
    </row>
    <row r="883" spans="1:6" s="79" customFormat="1" ht="24.75" customHeight="1" x14ac:dyDescent="0.25">
      <c r="A883" s="81"/>
      <c r="F883" s="81"/>
    </row>
    <row r="884" spans="1:6" s="79" customFormat="1" ht="24.75" customHeight="1" x14ac:dyDescent="0.25">
      <c r="A884" s="81"/>
      <c r="F884" s="81"/>
    </row>
    <row r="885" spans="1:6" s="79" customFormat="1" ht="24.75" customHeight="1" x14ac:dyDescent="0.25">
      <c r="A885" s="81"/>
      <c r="F885" s="81"/>
    </row>
    <row r="886" spans="1:6" s="79" customFormat="1" ht="24.75" customHeight="1" x14ac:dyDescent="0.25">
      <c r="A886" s="81"/>
      <c r="F886" s="81"/>
    </row>
    <row r="887" spans="1:6" s="79" customFormat="1" ht="24.75" customHeight="1" x14ac:dyDescent="0.25">
      <c r="A887" s="81"/>
      <c r="F887" s="81"/>
    </row>
    <row r="888" spans="1:6" s="79" customFormat="1" ht="24.75" customHeight="1" x14ac:dyDescent="0.25">
      <c r="A888" s="81"/>
      <c r="F888" s="81"/>
    </row>
    <row r="889" spans="1:6" s="79" customFormat="1" ht="24.75" customHeight="1" x14ac:dyDescent="0.25">
      <c r="A889" s="81"/>
      <c r="F889" s="81"/>
    </row>
    <row r="890" spans="1:6" s="79" customFormat="1" ht="24.75" customHeight="1" x14ac:dyDescent="0.25">
      <c r="A890" s="81"/>
      <c r="F890" s="81"/>
    </row>
    <row r="891" spans="1:6" s="79" customFormat="1" ht="24.75" customHeight="1" x14ac:dyDescent="0.25">
      <c r="A891" s="81"/>
      <c r="F891" s="81"/>
    </row>
    <row r="892" spans="1:6" s="79" customFormat="1" ht="24.75" customHeight="1" x14ac:dyDescent="0.25">
      <c r="A892" s="81"/>
      <c r="F892" s="81"/>
    </row>
    <row r="893" spans="1:6" s="79" customFormat="1" ht="24.75" customHeight="1" x14ac:dyDescent="0.25">
      <c r="A893" s="81"/>
      <c r="F893" s="81"/>
    </row>
    <row r="894" spans="1:6" s="79" customFormat="1" ht="24.75" customHeight="1" x14ac:dyDescent="0.25">
      <c r="A894" s="81"/>
      <c r="F894" s="81"/>
    </row>
    <row r="895" spans="1:6" s="79" customFormat="1" ht="24.75" customHeight="1" x14ac:dyDescent="0.25">
      <c r="A895" s="81"/>
      <c r="F895" s="81"/>
    </row>
    <row r="896" spans="1:6" s="79" customFormat="1" ht="24.75" customHeight="1" x14ac:dyDescent="0.25">
      <c r="A896" s="81"/>
      <c r="F896" s="81"/>
    </row>
    <row r="897" spans="1:6" s="79" customFormat="1" ht="24.75" customHeight="1" x14ac:dyDescent="0.25">
      <c r="A897" s="81"/>
      <c r="F897" s="81"/>
    </row>
    <row r="898" spans="1:6" s="79" customFormat="1" ht="24.75" customHeight="1" x14ac:dyDescent="0.25">
      <c r="A898" s="81"/>
      <c r="F898" s="81"/>
    </row>
    <row r="899" spans="1:6" s="79" customFormat="1" ht="24.75" customHeight="1" x14ac:dyDescent="0.25">
      <c r="A899" s="81"/>
      <c r="F899" s="81"/>
    </row>
    <row r="900" spans="1:6" s="79" customFormat="1" ht="24.75" customHeight="1" x14ac:dyDescent="0.25">
      <c r="A900" s="81"/>
      <c r="F900" s="81"/>
    </row>
    <row r="901" spans="1:6" s="79" customFormat="1" ht="24.75" customHeight="1" x14ac:dyDescent="0.25">
      <c r="A901" s="81"/>
      <c r="F901" s="81"/>
    </row>
    <row r="902" spans="1:6" s="79" customFormat="1" ht="24.75" customHeight="1" x14ac:dyDescent="0.25">
      <c r="A902" s="81"/>
      <c r="F902" s="81"/>
    </row>
    <row r="903" spans="1:6" s="79" customFormat="1" ht="24.75" customHeight="1" x14ac:dyDescent="0.25">
      <c r="A903" s="81"/>
      <c r="F903" s="81"/>
    </row>
    <row r="904" spans="1:6" s="79" customFormat="1" ht="24.75" customHeight="1" x14ac:dyDescent="0.25">
      <c r="A904" s="81"/>
      <c r="F904" s="81"/>
    </row>
    <row r="905" spans="1:6" s="79" customFormat="1" ht="24.75" customHeight="1" x14ac:dyDescent="0.25">
      <c r="A905" s="81"/>
      <c r="F905" s="81"/>
    </row>
    <row r="906" spans="1:6" s="79" customFormat="1" ht="24.75" customHeight="1" x14ac:dyDescent="0.25">
      <c r="A906" s="81"/>
      <c r="F906" s="81"/>
    </row>
    <row r="907" spans="1:6" s="79" customFormat="1" ht="24.75" customHeight="1" x14ac:dyDescent="0.25">
      <c r="A907" s="81"/>
      <c r="F907" s="81"/>
    </row>
    <row r="908" spans="1:6" s="79" customFormat="1" ht="24.75" customHeight="1" x14ac:dyDescent="0.25">
      <c r="A908" s="81"/>
      <c r="F908" s="81"/>
    </row>
    <row r="909" spans="1:6" s="79" customFormat="1" ht="24.75" customHeight="1" x14ac:dyDescent="0.25">
      <c r="A909" s="81"/>
      <c r="F909" s="81"/>
    </row>
    <row r="910" spans="1:6" s="79" customFormat="1" ht="24.75" customHeight="1" x14ac:dyDescent="0.25">
      <c r="A910" s="81"/>
      <c r="F910" s="81"/>
    </row>
    <row r="911" spans="1:6" s="79" customFormat="1" ht="24.75" customHeight="1" x14ac:dyDescent="0.25">
      <c r="A911" s="81"/>
      <c r="F911" s="81"/>
    </row>
    <row r="912" spans="1:6" s="79" customFormat="1" ht="24.75" customHeight="1" x14ac:dyDescent="0.25">
      <c r="A912" s="81"/>
      <c r="F912" s="81"/>
    </row>
    <row r="913" spans="1:12" s="79" customFormat="1" ht="24.75" customHeight="1" x14ac:dyDescent="0.25">
      <c r="A913" s="81"/>
      <c r="F913" s="81"/>
    </row>
    <row r="914" spans="1:12" s="79" customFormat="1" ht="24.75" customHeight="1" x14ac:dyDescent="0.25">
      <c r="A914" s="81"/>
      <c r="F914" s="81"/>
    </row>
    <row r="915" spans="1:12" s="79" customFormat="1" ht="24.75" customHeight="1" x14ac:dyDescent="0.25">
      <c r="A915" s="81"/>
      <c r="F915" s="81"/>
    </row>
    <row r="916" spans="1:12" s="79" customFormat="1" ht="24.75" customHeight="1" x14ac:dyDescent="0.25">
      <c r="A916" s="81"/>
      <c r="F916" s="81"/>
    </row>
    <row r="917" spans="1:12" s="79" customFormat="1" ht="24.75" customHeight="1" x14ac:dyDescent="0.25">
      <c r="A917" s="81"/>
      <c r="F917" s="81"/>
    </row>
    <row r="918" spans="1:12" s="79" customFormat="1" ht="24.75" customHeight="1" x14ac:dyDescent="0.25">
      <c r="A918" s="81"/>
      <c r="F918" s="81"/>
    </row>
    <row r="919" spans="1:12" s="79" customFormat="1" ht="24.75" customHeight="1" x14ac:dyDescent="0.25">
      <c r="A919" s="81"/>
      <c r="F919" s="81"/>
    </row>
    <row r="920" spans="1:12" s="79" customFormat="1" ht="24.75" customHeight="1" x14ac:dyDescent="0.25">
      <c r="A920" s="81"/>
      <c r="F920" s="81"/>
    </row>
    <row r="921" spans="1:12" s="79" customFormat="1" ht="24.75" customHeight="1" x14ac:dyDescent="0.25">
      <c r="A921" s="81"/>
      <c r="F921" s="81"/>
    </row>
    <row r="922" spans="1:12" s="79" customFormat="1" ht="24.75" customHeight="1" x14ac:dyDescent="0.3">
      <c r="A922" s="80"/>
      <c r="B922" s="80"/>
      <c r="C922" s="80"/>
      <c r="D922" s="86"/>
      <c r="E922" s="80"/>
      <c r="F922" s="80"/>
      <c r="G922" s="80"/>
      <c r="H922" s="80"/>
      <c r="I922" s="80"/>
      <c r="J922" s="80"/>
      <c r="K922" s="80"/>
      <c r="L922" s="88"/>
    </row>
    <row r="923" spans="1:12" s="79" customFormat="1" ht="24.75" customHeight="1" x14ac:dyDescent="0.3">
      <c r="A923" s="86"/>
      <c r="B923" s="86"/>
      <c r="C923" s="86"/>
      <c r="D923" s="86"/>
      <c r="E923" s="83"/>
      <c r="F923" s="83"/>
      <c r="G923" s="80"/>
      <c r="H923" s="80"/>
      <c r="I923" s="80"/>
      <c r="J923" s="80"/>
      <c r="K923" s="80"/>
      <c r="L923" s="88"/>
    </row>
    <row r="924" spans="1:12" s="79" customFormat="1" ht="24.75" customHeight="1" x14ac:dyDescent="0.3">
      <c r="A924" s="80"/>
      <c r="B924" s="80"/>
      <c r="C924" s="80"/>
      <c r="D924" s="86"/>
      <c r="E924" s="83"/>
      <c r="F924" s="83"/>
      <c r="G924" s="80"/>
      <c r="H924" s="80"/>
      <c r="I924" s="80"/>
      <c r="J924" s="80"/>
      <c r="K924" s="80"/>
      <c r="L924" s="88"/>
    </row>
    <row r="925" spans="1:12" s="79" customFormat="1" ht="24.75" customHeight="1" x14ac:dyDescent="0.3">
      <c r="A925" s="80"/>
      <c r="B925" s="80"/>
      <c r="C925" s="80"/>
      <c r="D925" s="86"/>
      <c r="E925" s="83"/>
      <c r="F925" s="83"/>
      <c r="G925" s="80"/>
      <c r="H925" s="80"/>
      <c r="I925" s="80"/>
      <c r="J925" s="80"/>
      <c r="K925" s="80"/>
      <c r="L925" s="88"/>
    </row>
    <row r="926" spans="1:12" s="79" customFormat="1" ht="24.75" customHeight="1" x14ac:dyDescent="0.25">
      <c r="D926" s="82"/>
      <c r="F926" s="82"/>
    </row>
    <row r="927" spans="1:12" s="79" customFormat="1" ht="24.75" customHeight="1" x14ac:dyDescent="0.25">
      <c r="A927" s="82"/>
      <c r="D927" s="82"/>
      <c r="F927" s="82"/>
    </row>
    <row r="928" spans="1:12" s="79" customFormat="1" ht="24.75" customHeight="1" x14ac:dyDescent="0.25">
      <c r="A928" s="82"/>
      <c r="D928" s="82"/>
      <c r="F928" s="82"/>
    </row>
    <row r="929" spans="1:12" s="79" customFormat="1" ht="24.75" customHeight="1" x14ac:dyDescent="0.25">
      <c r="A929" s="82"/>
      <c r="D929" s="82"/>
      <c r="F929" s="82"/>
    </row>
    <row r="930" spans="1:12" s="79" customFormat="1" ht="24.75" customHeight="1" x14ac:dyDescent="0.25">
      <c r="D930" s="82"/>
      <c r="F930" s="82"/>
    </row>
    <row r="931" spans="1:12" s="79" customFormat="1" ht="24.75" customHeight="1" x14ac:dyDescent="0.25">
      <c r="D931" s="82"/>
      <c r="F931" s="82"/>
    </row>
    <row r="932" spans="1:12" s="79" customFormat="1" ht="24.75" customHeight="1" x14ac:dyDescent="0.25">
      <c r="A932" s="82"/>
      <c r="D932" s="82"/>
      <c r="F932" s="82"/>
    </row>
    <row r="933" spans="1:12" s="79" customFormat="1" ht="24.75" customHeight="1" x14ac:dyDescent="0.25">
      <c r="D933" s="82"/>
      <c r="F933" s="82"/>
    </row>
    <row r="934" spans="1:12" s="79" customFormat="1" ht="24.75" customHeight="1" x14ac:dyDescent="0.25">
      <c r="D934" s="82"/>
      <c r="F934" s="82"/>
    </row>
    <row r="935" spans="1:12" s="79" customFormat="1" ht="24.75" customHeight="1" x14ac:dyDescent="0.25">
      <c r="A935" s="82"/>
      <c r="D935" s="82"/>
      <c r="F935" s="82"/>
    </row>
    <row r="936" spans="1:12" s="79" customFormat="1" ht="24.75" customHeight="1" x14ac:dyDescent="0.25">
      <c r="A936" s="82"/>
      <c r="D936" s="82"/>
      <c r="F936" s="82"/>
    </row>
    <row r="937" spans="1:12" s="79" customFormat="1" ht="24.75" customHeight="1" x14ac:dyDescent="0.25">
      <c r="A937" s="82"/>
      <c r="D937" s="82"/>
      <c r="F937" s="82"/>
    </row>
    <row r="938" spans="1:12" s="79" customFormat="1" ht="24.75" customHeight="1" x14ac:dyDescent="0.25">
      <c r="A938" s="82"/>
      <c r="D938" s="82"/>
      <c r="F938" s="82"/>
    </row>
    <row r="939" spans="1:12" s="79" customFormat="1" ht="24.75" customHeight="1" x14ac:dyDescent="0.25">
      <c r="D939" s="82"/>
      <c r="F939" s="82"/>
    </row>
    <row r="940" spans="1:12" s="79" customFormat="1" ht="24.75" customHeight="1" x14ac:dyDescent="0.25">
      <c r="A940" s="82"/>
      <c r="D940" s="82"/>
      <c r="F940" s="82"/>
    </row>
    <row r="941" spans="1:12" s="79" customFormat="1" ht="24.75" customHeight="1" x14ac:dyDescent="0.25">
      <c r="A941" s="82"/>
      <c r="D941" s="82"/>
      <c r="F941" s="82"/>
    </row>
    <row r="942" spans="1:12" s="79" customFormat="1" ht="24.75" customHeight="1" x14ac:dyDescent="0.25">
      <c r="A942" s="82"/>
      <c r="D942" s="82"/>
      <c r="F942" s="82"/>
    </row>
    <row r="943" spans="1:12" s="79" customFormat="1" ht="24.75" customHeight="1" x14ac:dyDescent="0.3">
      <c r="A943" s="86"/>
      <c r="B943" s="86"/>
      <c r="C943" s="86"/>
      <c r="D943" s="86"/>
      <c r="E943" s="83"/>
      <c r="F943" s="83"/>
      <c r="G943" s="80"/>
      <c r="H943" s="80"/>
      <c r="I943" s="80"/>
      <c r="J943" s="80"/>
      <c r="K943" s="80"/>
      <c r="L943" s="88"/>
    </row>
    <row r="944" spans="1:12" s="79" customFormat="1" ht="24.75" customHeight="1" x14ac:dyDescent="0.25">
      <c r="A944" s="82"/>
      <c r="D944" s="82"/>
      <c r="F944" s="82"/>
    </row>
    <row r="945" spans="1:12" s="79" customFormat="1" ht="24.75" customHeight="1" x14ac:dyDescent="0.25">
      <c r="D945" s="82"/>
      <c r="F945" s="82"/>
    </row>
    <row r="946" spans="1:12" s="79" customFormat="1" ht="24.75" customHeight="1" x14ac:dyDescent="0.25">
      <c r="D946" s="82"/>
      <c r="F946" s="82"/>
    </row>
    <row r="947" spans="1:12" s="79" customFormat="1" ht="24.75" customHeight="1" x14ac:dyDescent="0.25">
      <c r="A947" s="82"/>
      <c r="D947" s="82"/>
      <c r="F947" s="82"/>
    </row>
    <row r="948" spans="1:12" s="79" customFormat="1" ht="24.75" customHeight="1" x14ac:dyDescent="0.25">
      <c r="D948" s="82"/>
      <c r="F948" s="82"/>
    </row>
    <row r="949" spans="1:12" s="79" customFormat="1" ht="24.75" customHeight="1" x14ac:dyDescent="0.25">
      <c r="A949" s="82"/>
      <c r="D949" s="82"/>
      <c r="F949" s="82"/>
    </row>
    <row r="950" spans="1:12" s="79" customFormat="1" ht="24.75" customHeight="1" x14ac:dyDescent="0.25">
      <c r="A950" s="82"/>
      <c r="D950" s="82"/>
      <c r="F950" s="82"/>
    </row>
    <row r="951" spans="1:12" s="79" customFormat="1" ht="24.75" customHeight="1" x14ac:dyDescent="0.3">
      <c r="A951" s="86"/>
      <c r="B951" s="86"/>
      <c r="C951" s="86"/>
      <c r="D951" s="86"/>
      <c r="E951" s="83"/>
      <c r="F951" s="83"/>
      <c r="G951" s="80"/>
      <c r="H951" s="80"/>
      <c r="I951" s="80"/>
      <c r="J951" s="80"/>
      <c r="K951" s="80"/>
      <c r="L951" s="88"/>
    </row>
    <row r="952" spans="1:12" s="79" customFormat="1" ht="24.75" customHeight="1" x14ac:dyDescent="0.3">
      <c r="A952" s="86"/>
      <c r="B952" s="86"/>
      <c r="C952" s="86"/>
      <c r="D952" s="86"/>
      <c r="E952" s="83"/>
      <c r="F952" s="83"/>
      <c r="G952" s="80"/>
      <c r="H952" s="80"/>
      <c r="I952" s="80"/>
      <c r="J952" s="80"/>
      <c r="K952" s="80"/>
      <c r="L952" s="88"/>
    </row>
    <row r="953" spans="1:12" s="79" customFormat="1" ht="24.75" customHeight="1" x14ac:dyDescent="0.3">
      <c r="A953" s="86"/>
      <c r="B953" s="86"/>
      <c r="C953" s="86"/>
      <c r="D953" s="86"/>
      <c r="E953" s="83"/>
      <c r="F953" s="83"/>
      <c r="G953" s="80"/>
      <c r="H953" s="80"/>
      <c r="I953" s="80"/>
      <c r="J953" s="80"/>
      <c r="K953" s="80"/>
      <c r="L953" s="88"/>
    </row>
    <row r="954" spans="1:12" s="79" customFormat="1" ht="24.75" customHeight="1" x14ac:dyDescent="0.3">
      <c r="A954" s="80"/>
      <c r="B954" s="80"/>
      <c r="C954" s="80"/>
      <c r="D954" s="86"/>
      <c r="F954" s="80"/>
      <c r="G954" s="80"/>
      <c r="H954" s="80"/>
    </row>
    <row r="955" spans="1:12" s="79" customFormat="1" ht="24.75" customHeight="1" x14ac:dyDescent="0.3">
      <c r="A955" s="80"/>
      <c r="B955" s="80"/>
      <c r="C955" s="80"/>
      <c r="D955" s="86"/>
      <c r="F955" s="80"/>
      <c r="G955" s="80"/>
      <c r="H955" s="80"/>
    </row>
    <row r="956" spans="1:12" s="79" customFormat="1" ht="24.75" customHeight="1" x14ac:dyDescent="0.25"/>
    <row r="957" spans="1:12" s="79" customFormat="1" ht="24.75" customHeight="1" x14ac:dyDescent="0.25"/>
    <row r="958" spans="1:12" s="79" customFormat="1" ht="24.75" customHeight="1" x14ac:dyDescent="0.25"/>
    <row r="959" spans="1:12" s="79" customFormat="1" ht="24.75" customHeight="1" x14ac:dyDescent="0.25"/>
    <row r="960" spans="1:12" s="79" customFormat="1" ht="24.75" customHeight="1" x14ac:dyDescent="0.25"/>
    <row r="961" s="79" customFormat="1" ht="24.75" customHeight="1" x14ac:dyDescent="0.25"/>
    <row r="962" s="79" customFormat="1" ht="24.75" customHeight="1" x14ac:dyDescent="0.25"/>
    <row r="963" s="79" customFormat="1" ht="24.75" customHeight="1" x14ac:dyDescent="0.25"/>
    <row r="964" s="79" customFormat="1" ht="24.75" customHeight="1" x14ac:dyDescent="0.25"/>
    <row r="965" s="79" customFormat="1" ht="24.75" customHeight="1" x14ac:dyDescent="0.25"/>
    <row r="966" s="79" customFormat="1" ht="24.75" customHeight="1" x14ac:dyDescent="0.25"/>
    <row r="967" s="79" customFormat="1" ht="24.75" customHeight="1" x14ac:dyDescent="0.25"/>
    <row r="968" s="79" customFormat="1" ht="24.75" customHeight="1" x14ac:dyDescent="0.25"/>
    <row r="969" s="79" customFormat="1" ht="24.75" customHeight="1" x14ac:dyDescent="0.25"/>
    <row r="970" s="79" customFormat="1" ht="24.75" customHeight="1" x14ac:dyDescent="0.25"/>
    <row r="971" s="79" customFormat="1" ht="24.75" customHeight="1" x14ac:dyDescent="0.25"/>
    <row r="972" s="79" customFormat="1" ht="24.75" customHeight="1" x14ac:dyDescent="0.25"/>
    <row r="973" s="79" customFormat="1" ht="24.75" customHeight="1" x14ac:dyDescent="0.25"/>
    <row r="974" s="79" customFormat="1" ht="24.75" customHeight="1" x14ac:dyDescent="0.25"/>
    <row r="975" s="79" customFormat="1" ht="24.75" customHeight="1" x14ac:dyDescent="0.25"/>
    <row r="976" s="79" customFormat="1" ht="24.75" customHeight="1" x14ac:dyDescent="0.25"/>
    <row r="977" s="79" customFormat="1" ht="24.75" customHeight="1" x14ac:dyDescent="0.25"/>
    <row r="978" s="79" customFormat="1" ht="24.75" customHeight="1" x14ac:dyDescent="0.25"/>
    <row r="979" s="79" customFormat="1" ht="24.75" customHeight="1" x14ac:dyDescent="0.25"/>
    <row r="980" s="79" customFormat="1" ht="24.75" customHeight="1" x14ac:dyDescent="0.25"/>
    <row r="981" s="79" customFormat="1" ht="24.75" customHeight="1" x14ac:dyDescent="0.25"/>
    <row r="982" s="79" customFormat="1" ht="24.75" customHeight="1" x14ac:dyDescent="0.25"/>
    <row r="983" s="79" customFormat="1" ht="24.75" customHeight="1" x14ac:dyDescent="0.25"/>
    <row r="984" s="79" customFormat="1" ht="24.75" customHeight="1" x14ac:dyDescent="0.25"/>
    <row r="985" s="79" customFormat="1" ht="24.75" customHeight="1" x14ac:dyDescent="0.25"/>
    <row r="986" s="79" customFormat="1" ht="24.75" customHeight="1" x14ac:dyDescent="0.25"/>
    <row r="987" s="79" customFormat="1" ht="24.75" customHeight="1" x14ac:dyDescent="0.25"/>
    <row r="988" s="79" customFormat="1" ht="24.75" customHeight="1" x14ac:dyDescent="0.25"/>
    <row r="989" s="79" customFormat="1" ht="24.75" customHeight="1" x14ac:dyDescent="0.25"/>
    <row r="990" s="79" customFormat="1" ht="24.75" customHeight="1" x14ac:dyDescent="0.25"/>
    <row r="991" s="79" customFormat="1" ht="24.75" customHeight="1" x14ac:dyDescent="0.25"/>
    <row r="992" s="79" customFormat="1" ht="24.75" customHeight="1" x14ac:dyDescent="0.25"/>
    <row r="993" s="79" customFormat="1" ht="24.75" customHeight="1" x14ac:dyDescent="0.25"/>
    <row r="994" s="79" customFormat="1" ht="24.75" customHeight="1" x14ac:dyDescent="0.25"/>
    <row r="995" s="79" customFormat="1" ht="24.75" customHeight="1" x14ac:dyDescent="0.25"/>
    <row r="996" s="79" customFormat="1" ht="24.75" customHeight="1" x14ac:dyDescent="0.25"/>
    <row r="997" s="79" customFormat="1" ht="24.75" customHeight="1" x14ac:dyDescent="0.25"/>
    <row r="998" s="79" customFormat="1" ht="24.75" customHeight="1" x14ac:dyDescent="0.25"/>
    <row r="999" s="79" customFormat="1" ht="24.75" customHeight="1" x14ac:dyDescent="0.25"/>
    <row r="1000" s="79" customFormat="1" ht="24.75" customHeight="1" x14ac:dyDescent="0.25"/>
    <row r="1001" s="79" customFormat="1" ht="24.75" customHeight="1" x14ac:dyDescent="0.25"/>
    <row r="1002" s="79" customFormat="1" ht="24.75" customHeight="1" x14ac:dyDescent="0.25"/>
    <row r="1003" s="79" customFormat="1" ht="24.75" customHeight="1" x14ac:dyDescent="0.25"/>
    <row r="1004" s="79" customFormat="1" ht="24.75" customHeight="1" x14ac:dyDescent="0.25"/>
    <row r="1005" s="79" customFormat="1" ht="24.75" customHeight="1" x14ac:dyDescent="0.25"/>
    <row r="1006" s="79" customFormat="1" ht="24.75" customHeight="1" x14ac:dyDescent="0.25"/>
    <row r="1007" s="79" customFormat="1" ht="24.75" customHeight="1" x14ac:dyDescent="0.25"/>
    <row r="1008" s="79" customFormat="1" ht="24.75" customHeight="1" x14ac:dyDescent="0.25"/>
    <row r="1009" s="79" customFormat="1" ht="24.75" customHeight="1" x14ac:dyDescent="0.25"/>
    <row r="1010" s="79" customFormat="1" ht="24.75" customHeight="1" x14ac:dyDescent="0.25"/>
    <row r="1011" s="79" customFormat="1" ht="24.75" customHeight="1" x14ac:dyDescent="0.25"/>
    <row r="1012" s="79" customFormat="1" ht="24.75" customHeight="1" x14ac:dyDescent="0.25"/>
    <row r="1013" s="79" customFormat="1" ht="24.75" customHeight="1" x14ac:dyDescent="0.25"/>
    <row r="1014" s="79" customFormat="1" ht="24.75" customHeight="1" x14ac:dyDescent="0.25"/>
    <row r="1015" s="79" customFormat="1" ht="24.75" customHeight="1" x14ac:dyDescent="0.25"/>
    <row r="1016" s="79" customFormat="1" ht="24.75" customHeight="1" x14ac:dyDescent="0.25"/>
    <row r="1017" s="79" customFormat="1" ht="24.75" customHeight="1" x14ac:dyDescent="0.25"/>
    <row r="1018" s="79" customFormat="1" ht="24.75" customHeight="1" x14ac:dyDescent="0.25"/>
    <row r="1019" s="79" customFormat="1" ht="24.75" customHeight="1" x14ac:dyDescent="0.25"/>
    <row r="1020" s="79" customFormat="1" ht="24.75" customHeight="1" x14ac:dyDescent="0.25"/>
    <row r="1021" s="79" customFormat="1" ht="24.75" customHeight="1" x14ac:dyDescent="0.25"/>
    <row r="1022" s="79" customFormat="1" ht="24.75" customHeight="1" x14ac:dyDescent="0.25"/>
    <row r="1023" s="79" customFormat="1" ht="24.75" customHeight="1" x14ac:dyDescent="0.25"/>
    <row r="1024" s="79" customFormat="1" ht="24.75" customHeight="1" x14ac:dyDescent="0.25"/>
    <row r="1025" s="79" customFormat="1" ht="24.75" customHeight="1" x14ac:dyDescent="0.25"/>
    <row r="1026" s="79" customFormat="1" ht="24.75" customHeight="1" x14ac:dyDescent="0.25"/>
    <row r="1027" s="79" customFormat="1" ht="24.75" customHeight="1" x14ac:dyDescent="0.25"/>
    <row r="1028" s="79" customFormat="1" ht="24.75" customHeight="1" x14ac:dyDescent="0.25"/>
    <row r="1029" s="79" customFormat="1" ht="24.75" customHeight="1" x14ac:dyDescent="0.25"/>
    <row r="1030" s="79" customFormat="1" ht="24.75" customHeight="1" x14ac:dyDescent="0.25"/>
    <row r="1031" s="79" customFormat="1" ht="24.75" customHeight="1" x14ac:dyDescent="0.25"/>
    <row r="1032" s="79" customFormat="1" ht="24.75" customHeight="1" x14ac:dyDescent="0.25"/>
    <row r="1033" s="79" customFormat="1" ht="24.75" customHeight="1" x14ac:dyDescent="0.25"/>
    <row r="1034" s="79" customFormat="1" ht="24.75" customHeight="1" x14ac:dyDescent="0.25"/>
    <row r="1035" s="79" customFormat="1" ht="24.75" customHeight="1" x14ac:dyDescent="0.25"/>
    <row r="1036" s="79" customFormat="1" ht="24.75" customHeight="1" x14ac:dyDescent="0.25"/>
    <row r="1037" s="79" customFormat="1" ht="24.75" customHeight="1" x14ac:dyDescent="0.25"/>
    <row r="1038" s="79" customFormat="1" ht="24.75" customHeight="1" x14ac:dyDescent="0.25"/>
    <row r="1039" s="79" customFormat="1" ht="24.75" customHeight="1" x14ac:dyDescent="0.25"/>
    <row r="1040" s="79" customFormat="1" ht="24.75" customHeight="1" x14ac:dyDescent="0.25"/>
    <row r="1041" s="79" customFormat="1" ht="24.75" customHeight="1" x14ac:dyDescent="0.25"/>
    <row r="1042" s="79" customFormat="1" ht="24.75" customHeight="1" x14ac:dyDescent="0.25"/>
    <row r="1043" s="79" customFormat="1" ht="24.75" customHeight="1" x14ac:dyDescent="0.25"/>
    <row r="1044" s="79" customFormat="1" ht="24.75" customHeight="1" x14ac:dyDescent="0.25"/>
    <row r="1045" s="79" customFormat="1" ht="24.75" customHeight="1" x14ac:dyDescent="0.25"/>
    <row r="1046" s="79" customFormat="1" ht="24.75" customHeight="1" x14ac:dyDescent="0.25"/>
    <row r="1047" s="79" customFormat="1" ht="24.75" customHeight="1" x14ac:dyDescent="0.25"/>
    <row r="1048" s="79" customFormat="1" ht="24.75" customHeight="1" x14ac:dyDescent="0.25"/>
    <row r="1049" s="79" customFormat="1" ht="24.75" customHeight="1" x14ac:dyDescent="0.25"/>
    <row r="1050" s="79" customFormat="1" ht="24.75" customHeight="1" x14ac:dyDescent="0.25"/>
    <row r="1051" s="79" customFormat="1" ht="24.75" customHeight="1" x14ac:dyDescent="0.25"/>
    <row r="1052" s="79" customFormat="1" ht="24.75" customHeight="1" x14ac:dyDescent="0.25"/>
    <row r="1053" s="79" customFormat="1" ht="24.75" customHeight="1" x14ac:dyDescent="0.25"/>
    <row r="1054" s="79" customFormat="1" ht="24.75" customHeight="1" x14ac:dyDescent="0.25"/>
    <row r="1055" s="79" customFormat="1" ht="24.75" customHeight="1" x14ac:dyDescent="0.25"/>
    <row r="1056" s="79" customFormat="1" ht="24.75" customHeight="1" x14ac:dyDescent="0.25"/>
    <row r="1057" s="79" customFormat="1" ht="24.75" customHeight="1" x14ac:dyDescent="0.25"/>
    <row r="1058" s="79" customFormat="1" ht="24.75" customHeight="1" x14ac:dyDescent="0.25"/>
    <row r="1059" s="79" customFormat="1" ht="24.75" customHeight="1" x14ac:dyDescent="0.25"/>
    <row r="1060" s="79" customFormat="1" ht="24.75" customHeight="1" x14ac:dyDescent="0.25"/>
    <row r="1061" s="79" customFormat="1" ht="24.75" customHeight="1" x14ac:dyDescent="0.25"/>
    <row r="1062" s="79" customFormat="1" ht="24.75" customHeight="1" x14ac:dyDescent="0.25"/>
    <row r="1063" s="79" customFormat="1" ht="24.75" customHeight="1" x14ac:dyDescent="0.25"/>
    <row r="1064" s="79" customFormat="1" ht="24.75" customHeight="1" x14ac:dyDescent="0.25"/>
    <row r="1065" s="79" customFormat="1" ht="24.75" customHeight="1" x14ac:dyDescent="0.25"/>
    <row r="1066" s="79" customFormat="1" ht="24.75" customHeight="1" x14ac:dyDescent="0.25"/>
    <row r="1067" s="79" customFormat="1" ht="24.75" customHeight="1" x14ac:dyDescent="0.25"/>
    <row r="1068" s="79" customFormat="1" ht="24.75" customHeight="1" x14ac:dyDescent="0.25"/>
    <row r="1069" s="79" customFormat="1" ht="24.75" customHeight="1" x14ac:dyDescent="0.25"/>
    <row r="1070" s="79" customFormat="1" ht="24.75" customHeight="1" x14ac:dyDescent="0.25"/>
    <row r="1071" s="79" customFormat="1" ht="24.75" customHeight="1" x14ac:dyDescent="0.25"/>
    <row r="1072" s="79" customFormat="1" ht="24.75" customHeight="1" x14ac:dyDescent="0.25"/>
    <row r="1073" s="79" customFormat="1" ht="24.75" customHeight="1" x14ac:dyDescent="0.25"/>
    <row r="1074" s="79" customFormat="1" ht="24.75" customHeight="1" x14ac:dyDescent="0.25"/>
    <row r="1075" s="79" customFormat="1" ht="24.75" customHeight="1" x14ac:dyDescent="0.25"/>
    <row r="1076" s="79" customFormat="1" ht="24.75" customHeight="1" x14ac:dyDescent="0.25"/>
    <row r="1077" s="79" customFormat="1" ht="24.75" customHeight="1" x14ac:dyDescent="0.25"/>
    <row r="1078" s="79" customFormat="1" ht="24.75" customHeight="1" x14ac:dyDescent="0.25"/>
    <row r="1079" s="79" customFormat="1" ht="24.75" customHeight="1" x14ac:dyDescent="0.25"/>
    <row r="1080" s="79" customFormat="1" ht="24.75" customHeight="1" x14ac:dyDescent="0.25"/>
    <row r="1081" s="79" customFormat="1" ht="24.75" customHeight="1" x14ac:dyDescent="0.25"/>
    <row r="1082" s="79" customFormat="1" ht="24.75" customHeight="1" x14ac:dyDescent="0.25"/>
    <row r="1083" s="79" customFormat="1" ht="24.75" customHeight="1" x14ac:dyDescent="0.25"/>
    <row r="1084" s="79" customFormat="1" ht="24.75" customHeight="1" x14ac:dyDescent="0.25"/>
    <row r="1085" s="79" customFormat="1" ht="24.75" customHeight="1" x14ac:dyDescent="0.25"/>
    <row r="1086" s="79" customFormat="1" ht="24.75" customHeight="1" x14ac:dyDescent="0.25"/>
    <row r="1087" s="79" customFormat="1" ht="24.75" customHeight="1" x14ac:dyDescent="0.25"/>
    <row r="1088" s="79" customFormat="1" ht="24.75" customHeight="1" x14ac:dyDescent="0.25"/>
    <row r="1089" s="79" customFormat="1" ht="24.75" customHeight="1" x14ac:dyDescent="0.25"/>
    <row r="1090" s="79" customFormat="1" ht="24.75" customHeight="1" x14ac:dyDescent="0.25"/>
    <row r="1091" s="79" customFormat="1" ht="24.75" customHeight="1" x14ac:dyDescent="0.25"/>
    <row r="1092" s="79" customFormat="1" ht="24.75" customHeight="1" x14ac:dyDescent="0.25"/>
    <row r="1093" s="79" customFormat="1" ht="24.75" customHeight="1" x14ac:dyDescent="0.25"/>
    <row r="1094" s="79" customFormat="1" ht="24.75" customHeight="1" x14ac:dyDescent="0.25"/>
    <row r="1095" s="79" customFormat="1" ht="24.75" customHeight="1" x14ac:dyDescent="0.25"/>
    <row r="1096" s="79" customFormat="1" ht="24.75" customHeight="1" x14ac:dyDescent="0.25"/>
    <row r="1097" s="79" customFormat="1" ht="24.75" customHeight="1" x14ac:dyDescent="0.25"/>
    <row r="1098" s="79" customFormat="1" ht="24.75" customHeight="1" x14ac:dyDescent="0.25"/>
    <row r="1099" s="79" customFormat="1" ht="24.75" customHeight="1" x14ac:dyDescent="0.25"/>
    <row r="1100" s="79" customFormat="1" ht="24.75" customHeight="1" x14ac:dyDescent="0.25"/>
    <row r="1101" s="79" customFormat="1" ht="24.75" customHeight="1" x14ac:dyDescent="0.25"/>
    <row r="1102" s="79" customFormat="1" ht="24.75" customHeight="1" x14ac:dyDescent="0.25"/>
    <row r="1103" s="79" customFormat="1" ht="24.75" customHeight="1" x14ac:dyDescent="0.25"/>
    <row r="1104" s="79" customFormat="1" ht="24.75" customHeight="1" x14ac:dyDescent="0.25"/>
    <row r="1105" s="79" customFormat="1" ht="24.75" customHeight="1" x14ac:dyDescent="0.25"/>
    <row r="1106" s="79" customFormat="1" ht="24.75" customHeight="1" x14ac:dyDescent="0.25"/>
    <row r="1107" s="79" customFormat="1" ht="24.75" customHeight="1" x14ac:dyDescent="0.25"/>
    <row r="1108" s="79" customFormat="1" ht="24.75" customHeight="1" x14ac:dyDescent="0.25"/>
    <row r="1109" s="79" customFormat="1" ht="24.75" customHeight="1" x14ac:dyDescent="0.25"/>
    <row r="1110" s="79" customFormat="1" ht="24.75" customHeight="1" x14ac:dyDescent="0.25"/>
    <row r="1111" s="79" customFormat="1" ht="24.75" customHeight="1" x14ac:dyDescent="0.25"/>
    <row r="1112" s="79" customFormat="1" ht="24.75" customHeight="1" x14ac:dyDescent="0.25"/>
    <row r="1113" s="79" customFormat="1" ht="24.75" customHeight="1" x14ac:dyDescent="0.25"/>
    <row r="1114" s="79" customFormat="1" ht="24.75" customHeight="1" x14ac:dyDescent="0.25"/>
    <row r="1115" s="79" customFormat="1" ht="24.75" customHeight="1" x14ac:dyDescent="0.25"/>
    <row r="1116" s="79" customFormat="1" ht="24.75" customHeight="1" x14ac:dyDescent="0.25"/>
    <row r="1117" s="79" customFormat="1" ht="24.75" customHeight="1" x14ac:dyDescent="0.25"/>
    <row r="1118" s="79" customFormat="1" ht="24.75" customHeight="1" x14ac:dyDescent="0.25"/>
    <row r="1119" s="79" customFormat="1" ht="24.75" customHeight="1" x14ac:dyDescent="0.25"/>
    <row r="1120" s="79" customFormat="1" ht="24.75" customHeight="1" x14ac:dyDescent="0.25"/>
    <row r="1121" s="79" customFormat="1" ht="24.75" customHeight="1" x14ac:dyDescent="0.25"/>
    <row r="1122" s="79" customFormat="1" ht="24.75" customHeight="1" x14ac:dyDescent="0.25"/>
    <row r="1123" s="79" customFormat="1" ht="24.75" customHeight="1" x14ac:dyDescent="0.25"/>
    <row r="1124" s="79" customFormat="1" ht="24.75" customHeight="1" x14ac:dyDescent="0.25"/>
    <row r="1125" s="79" customFormat="1" ht="24.75" customHeight="1" x14ac:dyDescent="0.25"/>
    <row r="1126" s="79" customFormat="1" ht="24.75" customHeight="1" x14ac:dyDescent="0.25"/>
    <row r="1127" s="79" customFormat="1" ht="24.75" customHeight="1" x14ac:dyDescent="0.25"/>
    <row r="1128" s="79" customFormat="1" ht="24.75" customHeight="1" x14ac:dyDescent="0.25"/>
    <row r="1129" s="79" customFormat="1" ht="24.75" customHeight="1" x14ac:dyDescent="0.25"/>
    <row r="1130" s="79" customFormat="1" ht="24.75" customHeight="1" x14ac:dyDescent="0.25"/>
    <row r="1131" s="79" customFormat="1" ht="24.75" customHeight="1" x14ac:dyDescent="0.25"/>
    <row r="1132" s="79" customFormat="1" ht="24.75" customHeight="1" x14ac:dyDescent="0.25"/>
    <row r="1133" s="79" customFormat="1" ht="24.75" customHeight="1" x14ac:dyDescent="0.25"/>
    <row r="1134" s="79" customFormat="1" ht="24.75" customHeight="1" x14ac:dyDescent="0.25"/>
    <row r="1135" s="79" customFormat="1" ht="24.75" customHeight="1" x14ac:dyDescent="0.25"/>
    <row r="1136" s="79" customFormat="1" ht="24.75" customHeight="1" x14ac:dyDescent="0.25"/>
    <row r="1137" s="79" customFormat="1" ht="24.75" customHeight="1" x14ac:dyDescent="0.25"/>
    <row r="1138" s="79" customFormat="1" ht="24.75" customHeight="1" x14ac:dyDescent="0.25"/>
    <row r="1139" s="79" customFormat="1" ht="24.75" customHeight="1" x14ac:dyDescent="0.25"/>
    <row r="1140" s="79" customFormat="1" ht="24.75" customHeight="1" x14ac:dyDescent="0.25"/>
    <row r="1141" s="79" customFormat="1" ht="24.75" customHeight="1" x14ac:dyDescent="0.25"/>
    <row r="1142" s="79" customFormat="1" ht="24.75" customHeight="1" x14ac:dyDescent="0.25"/>
    <row r="1143" s="79" customFormat="1" ht="24.75" customHeight="1" x14ac:dyDescent="0.25"/>
    <row r="1144" s="79" customFormat="1" ht="24.75" customHeight="1" x14ac:dyDescent="0.25"/>
    <row r="1145" s="79" customFormat="1" ht="24.75" customHeight="1" x14ac:dyDescent="0.25"/>
    <row r="1146" s="79" customFormat="1" ht="24.75" customHeight="1" x14ac:dyDescent="0.25"/>
    <row r="1147" s="79" customFormat="1" ht="24.75" customHeight="1" x14ac:dyDescent="0.25"/>
    <row r="1148" s="79" customFormat="1" ht="24.75" customHeight="1" x14ac:dyDescent="0.25"/>
    <row r="1149" s="79" customFormat="1" ht="24.75" customHeight="1" x14ac:dyDescent="0.25"/>
    <row r="1150" s="79" customFormat="1" ht="24.75" customHeight="1" x14ac:dyDescent="0.25"/>
    <row r="1151" s="79" customFormat="1" ht="24.75" customHeight="1" x14ac:dyDescent="0.25"/>
    <row r="1152" s="79" customFormat="1" ht="24.75" customHeight="1" x14ac:dyDescent="0.25"/>
    <row r="1153" s="79" customFormat="1" ht="24.75" customHeight="1" x14ac:dyDescent="0.25"/>
    <row r="1154" s="79" customFormat="1" ht="24.75" customHeight="1" x14ac:dyDescent="0.25"/>
    <row r="1155" s="79" customFormat="1" ht="24.75" customHeight="1" x14ac:dyDescent="0.25"/>
    <row r="1156" s="79" customFormat="1" ht="24.75" customHeight="1" x14ac:dyDescent="0.25"/>
    <row r="1157" s="79" customFormat="1" ht="24.75" customHeight="1" x14ac:dyDescent="0.25"/>
    <row r="1158" s="79" customFormat="1" ht="24.75" customHeight="1" x14ac:dyDescent="0.25"/>
    <row r="1159" s="79" customFormat="1" ht="24.75" customHeight="1" x14ac:dyDescent="0.25"/>
    <row r="1160" s="79" customFormat="1" ht="24.75" customHeight="1" x14ac:dyDescent="0.25"/>
    <row r="1161" s="79" customFormat="1" ht="24.75" customHeight="1" x14ac:dyDescent="0.25"/>
    <row r="1162" s="79" customFormat="1" ht="24.75" customHeight="1" x14ac:dyDescent="0.25"/>
    <row r="1163" s="79" customFormat="1" ht="24.75" customHeight="1" x14ac:dyDescent="0.25"/>
    <row r="1164" s="79" customFormat="1" ht="24.75" customHeight="1" x14ac:dyDescent="0.25"/>
    <row r="1165" s="79" customFormat="1" ht="24.75" customHeight="1" x14ac:dyDescent="0.25"/>
    <row r="1166" s="79" customFormat="1" ht="24.75" customHeight="1" x14ac:dyDescent="0.25"/>
    <row r="1167" s="79" customFormat="1" ht="24.75" customHeight="1" x14ac:dyDescent="0.25"/>
    <row r="1168" s="79" customFormat="1" ht="24.75" customHeight="1" x14ac:dyDescent="0.25"/>
    <row r="1169" s="79" customFormat="1" ht="24.75" customHeight="1" x14ac:dyDescent="0.25"/>
    <row r="1170" s="79" customFormat="1" ht="24.75" customHeight="1" x14ac:dyDescent="0.25"/>
    <row r="1171" s="79" customFormat="1" ht="24.75" customHeight="1" x14ac:dyDescent="0.25"/>
    <row r="1172" s="79" customFormat="1" ht="24.75" customHeight="1" x14ac:dyDescent="0.25"/>
    <row r="1173" s="79" customFormat="1" ht="24.75" customHeight="1" x14ac:dyDescent="0.25"/>
    <row r="1174" s="79" customFormat="1" ht="24.75" customHeight="1" x14ac:dyDescent="0.25"/>
    <row r="1175" s="79" customFormat="1" ht="24.75" customHeight="1" x14ac:dyDescent="0.25"/>
    <row r="1176" s="79" customFormat="1" ht="24.75" customHeight="1" x14ac:dyDescent="0.25"/>
    <row r="1177" s="79" customFormat="1" ht="24.75" customHeight="1" x14ac:dyDescent="0.25"/>
    <row r="1178" s="79" customFormat="1" ht="24.75" customHeight="1" x14ac:dyDescent="0.25"/>
    <row r="1179" s="79" customFormat="1" ht="24.75" customHeight="1" x14ac:dyDescent="0.25"/>
    <row r="1180" s="79" customFormat="1" ht="24.75" customHeight="1" x14ac:dyDescent="0.25"/>
    <row r="1181" s="79" customFormat="1" ht="24.75" customHeight="1" x14ac:dyDescent="0.25"/>
    <row r="1182" s="79" customFormat="1" ht="24.75" customHeight="1" x14ac:dyDescent="0.25"/>
    <row r="1183" s="79" customFormat="1" ht="24.75" customHeight="1" x14ac:dyDescent="0.25"/>
    <row r="1184" s="79" customFormat="1" ht="24.75" customHeight="1" x14ac:dyDescent="0.25"/>
    <row r="1185" s="79" customFormat="1" ht="24.75" customHeight="1" x14ac:dyDescent="0.25"/>
    <row r="1186" s="79" customFormat="1" ht="24.75" customHeight="1" x14ac:dyDescent="0.25"/>
    <row r="1187" s="79" customFormat="1" ht="24.75" customHeight="1" x14ac:dyDescent="0.25"/>
    <row r="1188" s="79" customFormat="1" ht="24.75" customHeight="1" x14ac:dyDescent="0.25"/>
    <row r="1189" s="79" customFormat="1" ht="24.75" customHeight="1" x14ac:dyDescent="0.25"/>
    <row r="1190" s="79" customFormat="1" ht="24.75" customHeight="1" x14ac:dyDescent="0.25"/>
    <row r="1191" s="79" customFormat="1" ht="24.75" customHeight="1" x14ac:dyDescent="0.25"/>
    <row r="1192" s="79" customFormat="1" ht="24.75" customHeight="1" x14ac:dyDescent="0.25"/>
    <row r="1193" s="79" customFormat="1" ht="24.75" customHeight="1" x14ac:dyDescent="0.25"/>
    <row r="1194" s="79" customFormat="1" ht="24.75" customHeight="1" x14ac:dyDescent="0.25"/>
    <row r="1195" s="79" customFormat="1" ht="24.75" customHeight="1" x14ac:dyDescent="0.25"/>
    <row r="1196" s="79" customFormat="1" ht="24.75" customHeight="1" x14ac:dyDescent="0.25"/>
    <row r="1197" s="79" customFormat="1" ht="24.75" customHeight="1" x14ac:dyDescent="0.25"/>
    <row r="1198" s="79" customFormat="1" ht="24.75" customHeight="1" x14ac:dyDescent="0.25"/>
    <row r="1199" s="79" customFormat="1" ht="24.75" customHeight="1" x14ac:dyDescent="0.25"/>
    <row r="1200" s="79" customFormat="1" ht="24.75" customHeight="1" x14ac:dyDescent="0.25"/>
    <row r="1201" s="79" customFormat="1" ht="24.75" customHeight="1" x14ac:dyDescent="0.25"/>
    <row r="1202" s="79" customFormat="1" ht="24.75" customHeight="1" x14ac:dyDescent="0.25"/>
    <row r="1203" s="79" customFormat="1" ht="24.75" customHeight="1" x14ac:dyDescent="0.25"/>
    <row r="1204" s="79" customFormat="1" ht="24.75" customHeight="1" x14ac:dyDescent="0.25"/>
    <row r="1205" s="79" customFormat="1" ht="24.75" customHeight="1" x14ac:dyDescent="0.25"/>
    <row r="1206" s="79" customFormat="1" ht="24.75" customHeight="1" x14ac:dyDescent="0.25"/>
    <row r="1207" s="79" customFormat="1" ht="24.75" customHeight="1" x14ac:dyDescent="0.25"/>
    <row r="1208" s="79" customFormat="1" ht="24.75" customHeight="1" x14ac:dyDescent="0.25"/>
    <row r="1209" s="79" customFormat="1" ht="24.75" customHeight="1" x14ac:dyDescent="0.25"/>
    <row r="1210" s="79" customFormat="1" ht="24.75" customHeight="1" x14ac:dyDescent="0.25"/>
    <row r="1211" s="79" customFormat="1" ht="24.75" customHeight="1" x14ac:dyDescent="0.25"/>
    <row r="1212" s="79" customFormat="1" ht="24.75" customHeight="1" x14ac:dyDescent="0.25"/>
    <row r="1213" s="79" customFormat="1" ht="24.75" customHeight="1" x14ac:dyDescent="0.25"/>
    <row r="1214" s="79" customFormat="1" ht="24.75" customHeight="1" x14ac:dyDescent="0.25"/>
    <row r="1215" s="79" customFormat="1" ht="24.75" customHeight="1" x14ac:dyDescent="0.25"/>
    <row r="1216" s="79" customFormat="1" ht="24.75" customHeight="1" x14ac:dyDescent="0.25"/>
    <row r="1217" s="79" customFormat="1" ht="24.75" customHeight="1" x14ac:dyDescent="0.25"/>
    <row r="1218" s="79" customFormat="1" ht="24.75" customHeight="1" x14ac:dyDescent="0.25"/>
    <row r="1219" s="79" customFormat="1" ht="24.75" customHeight="1" x14ac:dyDescent="0.25"/>
    <row r="1220" s="79" customFormat="1" ht="24.75" customHeight="1" x14ac:dyDescent="0.25"/>
    <row r="1221" s="79" customFormat="1" ht="24.75" customHeight="1" x14ac:dyDescent="0.25"/>
    <row r="1222" s="79" customFormat="1" ht="24.75" customHeight="1" x14ac:dyDescent="0.25"/>
    <row r="1223" s="79" customFormat="1" ht="24.75" customHeight="1" x14ac:dyDescent="0.25"/>
    <row r="1224" s="79" customFormat="1" ht="24.75" customHeight="1" x14ac:dyDescent="0.25"/>
    <row r="1225" s="79" customFormat="1" ht="24.75" customHeight="1" x14ac:dyDescent="0.25"/>
    <row r="1226" s="79" customFormat="1" ht="24.75" customHeight="1" x14ac:dyDescent="0.25"/>
    <row r="1227" s="79" customFormat="1" ht="24.75" customHeight="1" x14ac:dyDescent="0.25"/>
    <row r="1228" s="79" customFormat="1" ht="24.75" customHeight="1" x14ac:dyDescent="0.25"/>
    <row r="1229" s="79" customFormat="1" ht="24.75" customHeight="1" x14ac:dyDescent="0.25"/>
    <row r="1230" s="79" customFormat="1" ht="24.75" customHeight="1" x14ac:dyDescent="0.25"/>
    <row r="1231" s="79" customFormat="1" ht="24.75" customHeight="1" x14ac:dyDescent="0.25"/>
    <row r="1232" s="79" customFormat="1" ht="24.75" customHeight="1" x14ac:dyDescent="0.25"/>
    <row r="1233" s="79" customFormat="1" ht="24.75" customHeight="1" x14ac:dyDescent="0.25"/>
    <row r="1234" s="79" customFormat="1" ht="24.75" customHeight="1" x14ac:dyDescent="0.25"/>
    <row r="1235" s="79" customFormat="1" ht="24.75" customHeight="1" x14ac:dyDescent="0.25"/>
    <row r="1236" s="79" customFormat="1" ht="24.75" customHeight="1" x14ac:dyDescent="0.25"/>
    <row r="1237" s="79" customFormat="1" ht="24.75" customHeight="1" x14ac:dyDescent="0.25"/>
    <row r="1238" s="79" customFormat="1" ht="24.75" customHeight="1" x14ac:dyDescent="0.25"/>
    <row r="1239" s="79" customFormat="1" ht="24.75" customHeight="1" x14ac:dyDescent="0.25"/>
    <row r="1240" s="79" customFormat="1" ht="24.75" customHeight="1" x14ac:dyDescent="0.25"/>
    <row r="1241" s="79" customFormat="1" ht="24.75" customHeight="1" x14ac:dyDescent="0.25"/>
    <row r="1242" s="79" customFormat="1" ht="24.75" customHeight="1" x14ac:dyDescent="0.25"/>
    <row r="1243" s="79" customFormat="1" ht="24.75" customHeight="1" x14ac:dyDescent="0.25"/>
    <row r="1244" s="79" customFormat="1" ht="24.75" customHeight="1" x14ac:dyDescent="0.25"/>
    <row r="1245" s="79" customFormat="1" ht="24.75" customHeight="1" x14ac:dyDescent="0.25"/>
    <row r="1246" s="79" customFormat="1" ht="24.75" customHeight="1" x14ac:dyDescent="0.25"/>
    <row r="1247" s="79" customFormat="1" ht="24.75" customHeight="1" x14ac:dyDescent="0.25"/>
    <row r="1248" s="79" customFormat="1" ht="24.75" customHeight="1" x14ac:dyDescent="0.25"/>
    <row r="1249" s="79" customFormat="1" ht="24.75" customHeight="1" x14ac:dyDescent="0.25"/>
    <row r="1250" s="79" customFormat="1" ht="24.75" customHeight="1" x14ac:dyDescent="0.25"/>
    <row r="1251" s="79" customFormat="1" ht="24.75" customHeight="1" x14ac:dyDescent="0.25"/>
    <row r="1252" s="79" customFormat="1" ht="24.75" customHeight="1" x14ac:dyDescent="0.25"/>
    <row r="1253" s="79" customFormat="1" ht="24.75" customHeight="1" x14ac:dyDescent="0.25"/>
    <row r="1254" s="79" customFormat="1" ht="24.75" customHeight="1" x14ac:dyDescent="0.25"/>
    <row r="1255" s="79" customFormat="1" ht="24.75" customHeight="1" x14ac:dyDescent="0.25"/>
    <row r="1256" s="79" customFormat="1" ht="24.75" customHeight="1" x14ac:dyDescent="0.25"/>
    <row r="1257" s="79" customFormat="1" ht="24.75" customHeight="1" x14ac:dyDescent="0.25"/>
    <row r="1258" s="79" customFormat="1" ht="24.75" customHeight="1" x14ac:dyDescent="0.25"/>
    <row r="1259" s="79" customFormat="1" ht="24.75" customHeight="1" x14ac:dyDescent="0.25"/>
    <row r="1260" s="79" customFormat="1" ht="24.75" customHeight="1" x14ac:dyDescent="0.25"/>
    <row r="1261" s="79" customFormat="1" ht="24.75" customHeight="1" x14ac:dyDescent="0.25"/>
    <row r="1262" s="79" customFormat="1" ht="24.75" customHeight="1" x14ac:dyDescent="0.25"/>
    <row r="1263" s="79" customFormat="1" ht="24.75" customHeight="1" x14ac:dyDescent="0.25"/>
    <row r="1264" s="79" customFormat="1" ht="24.75" customHeight="1" x14ac:dyDescent="0.25"/>
    <row r="1265" s="79" customFormat="1" ht="24.75" customHeight="1" x14ac:dyDescent="0.25"/>
    <row r="1266" s="79" customFormat="1" ht="24.75" customHeight="1" x14ac:dyDescent="0.25"/>
    <row r="1267" s="79" customFormat="1" ht="24.75" customHeight="1" x14ac:dyDescent="0.25"/>
    <row r="1268" s="79" customFormat="1" ht="24.75" customHeight="1" x14ac:dyDescent="0.25"/>
    <row r="1269" s="79" customFormat="1" ht="24.75" customHeight="1" x14ac:dyDescent="0.25"/>
    <row r="1270" s="79" customFormat="1" ht="24.75" customHeight="1" x14ac:dyDescent="0.25"/>
    <row r="1271" s="79" customFormat="1" ht="24.75" customHeight="1" x14ac:dyDescent="0.25"/>
    <row r="1272" s="79" customFormat="1" ht="24.75" customHeight="1" x14ac:dyDescent="0.25"/>
    <row r="1273" s="79" customFormat="1" ht="24.75" customHeight="1" x14ac:dyDescent="0.25"/>
    <row r="1274" s="79" customFormat="1" ht="24.75" customHeight="1" x14ac:dyDescent="0.25"/>
    <row r="1275" s="79" customFormat="1" ht="24.75" customHeight="1" x14ac:dyDescent="0.25"/>
    <row r="1276" s="79" customFormat="1" ht="24.75" customHeight="1" x14ac:dyDescent="0.25"/>
    <row r="1277" s="79" customFormat="1" ht="24.75" customHeight="1" x14ac:dyDescent="0.25"/>
    <row r="1278" s="79" customFormat="1" ht="24.75" customHeight="1" x14ac:dyDescent="0.25"/>
    <row r="1279" s="79" customFormat="1" ht="24.75" customHeight="1" x14ac:dyDescent="0.25"/>
    <row r="1280" s="79" customFormat="1" ht="24.75" customHeight="1" x14ac:dyDescent="0.25"/>
    <row r="1281" s="79" customFormat="1" ht="24.75" customHeight="1" x14ac:dyDescent="0.25"/>
    <row r="1282" s="79" customFormat="1" ht="24.75" customHeight="1" x14ac:dyDescent="0.25"/>
    <row r="1283" s="79" customFormat="1" ht="24.75" customHeight="1" x14ac:dyDescent="0.25"/>
    <row r="1284" s="79" customFormat="1" ht="24.75" customHeight="1" x14ac:dyDescent="0.25"/>
    <row r="1285" s="79" customFormat="1" ht="24.75" customHeight="1" x14ac:dyDescent="0.25"/>
    <row r="1286" s="79" customFormat="1" ht="24.75" customHeight="1" x14ac:dyDescent="0.25"/>
    <row r="1287" s="79" customFormat="1" ht="24.75" customHeight="1" x14ac:dyDescent="0.25"/>
    <row r="1288" s="79" customFormat="1" ht="24.75" customHeight="1" x14ac:dyDescent="0.25"/>
    <row r="1289" s="79" customFormat="1" ht="24.75" customHeight="1" x14ac:dyDescent="0.25"/>
    <row r="1290" s="79" customFormat="1" ht="24.75" customHeight="1" x14ac:dyDescent="0.25"/>
    <row r="1291" s="79" customFormat="1" ht="24.75" customHeight="1" x14ac:dyDescent="0.25"/>
    <row r="1292" s="79" customFormat="1" ht="24.75" customHeight="1" x14ac:dyDescent="0.25"/>
    <row r="1293" s="79" customFormat="1" ht="24.75" customHeight="1" x14ac:dyDescent="0.25"/>
    <row r="1294" s="79" customFormat="1" ht="24.75" customHeight="1" x14ac:dyDescent="0.25"/>
    <row r="1295" s="79" customFormat="1" ht="24.75" customHeight="1" x14ac:dyDescent="0.25"/>
    <row r="1296" s="79" customFormat="1" ht="24.75" customHeight="1" x14ac:dyDescent="0.25"/>
    <row r="1297" s="79" customFormat="1" ht="24.75" customHeight="1" x14ac:dyDescent="0.25"/>
    <row r="1298" s="79" customFormat="1" ht="24.75" customHeight="1" x14ac:dyDescent="0.25"/>
    <row r="1299" s="79" customFormat="1" ht="24.75" customHeight="1" x14ac:dyDescent="0.25"/>
    <row r="1300" s="79" customFormat="1" ht="24.75" customHeight="1" x14ac:dyDescent="0.25"/>
    <row r="1301" s="79" customFormat="1" ht="24.75" customHeight="1" x14ac:dyDescent="0.25"/>
    <row r="1302" s="79" customFormat="1" ht="24.75" customHeight="1" x14ac:dyDescent="0.25"/>
    <row r="1303" s="79" customFormat="1" ht="24.75" customHeight="1" x14ac:dyDescent="0.25"/>
    <row r="1304" s="79" customFormat="1" ht="24.75" customHeight="1" x14ac:dyDescent="0.25"/>
    <row r="1305" s="79" customFormat="1" ht="24.75" customHeight="1" x14ac:dyDescent="0.25"/>
    <row r="1306" s="79" customFormat="1" ht="24.75" customHeight="1" x14ac:dyDescent="0.25"/>
    <row r="1307" s="79" customFormat="1" ht="24.75" customHeight="1" x14ac:dyDescent="0.25"/>
    <row r="1308" s="79" customFormat="1" ht="24.75" customHeight="1" x14ac:dyDescent="0.25"/>
    <row r="1309" s="79" customFormat="1" ht="24.75" customHeight="1" x14ac:dyDescent="0.25"/>
    <row r="1310" s="79" customFormat="1" ht="24.75" customHeight="1" x14ac:dyDescent="0.25"/>
    <row r="1311" s="79" customFormat="1" ht="24.75" customHeight="1" x14ac:dyDescent="0.25"/>
    <row r="1312" s="79" customFormat="1" ht="24.75" customHeight="1" x14ac:dyDescent="0.25"/>
    <row r="1313" s="79" customFormat="1" ht="24.75" customHeight="1" x14ac:dyDescent="0.25"/>
    <row r="1314" s="79" customFormat="1" ht="24.75" customHeight="1" x14ac:dyDescent="0.25"/>
    <row r="1315" s="79" customFormat="1" ht="24.75" customHeight="1" x14ac:dyDescent="0.25"/>
    <row r="1316" s="79" customFormat="1" ht="24.75" customHeight="1" x14ac:dyDescent="0.25"/>
    <row r="1317" s="79" customFormat="1" ht="24.75" customHeight="1" x14ac:dyDescent="0.25"/>
    <row r="1318" s="79" customFormat="1" ht="24.75" customHeight="1" x14ac:dyDescent="0.25"/>
    <row r="1319" s="79" customFormat="1" ht="24.75" customHeight="1" x14ac:dyDescent="0.25"/>
    <row r="1320" s="79" customFormat="1" ht="24.75" customHeight="1" x14ac:dyDescent="0.25"/>
    <row r="1321" s="79" customFormat="1" ht="24.75" customHeight="1" x14ac:dyDescent="0.25"/>
    <row r="1322" s="79" customFormat="1" ht="24.75" customHeight="1" x14ac:dyDescent="0.25"/>
    <row r="1323" s="79" customFormat="1" ht="24.75" customHeight="1" x14ac:dyDescent="0.25"/>
    <row r="1324" s="79" customFormat="1" ht="24.75" customHeight="1" x14ac:dyDescent="0.25"/>
    <row r="1325" s="79" customFormat="1" ht="24.75" customHeight="1" x14ac:dyDescent="0.25"/>
    <row r="1326" s="79" customFormat="1" ht="24.75" customHeight="1" x14ac:dyDescent="0.25"/>
    <row r="1327" s="79" customFormat="1" ht="24.75" customHeight="1" x14ac:dyDescent="0.25"/>
    <row r="1328" s="79" customFormat="1" ht="24.75" customHeight="1" x14ac:dyDescent="0.25"/>
    <row r="1329" s="79" customFormat="1" ht="24.75" customHeight="1" x14ac:dyDescent="0.25"/>
    <row r="1330" s="79" customFormat="1" ht="24.75" customHeight="1" x14ac:dyDescent="0.25"/>
    <row r="1331" s="79" customFormat="1" ht="24.75" customHeight="1" x14ac:dyDescent="0.25"/>
    <row r="1332" s="79" customFormat="1" ht="24.75" customHeight="1" x14ac:dyDescent="0.25"/>
    <row r="1333" s="79" customFormat="1" ht="24.75" customHeight="1" x14ac:dyDescent="0.25"/>
    <row r="1334" s="79" customFormat="1" ht="24.75" customHeight="1" x14ac:dyDescent="0.25"/>
    <row r="1335" s="79" customFormat="1" ht="24.75" customHeight="1" x14ac:dyDescent="0.25"/>
    <row r="1336" s="79" customFormat="1" ht="24.75" customHeight="1" x14ac:dyDescent="0.25"/>
    <row r="1337" s="79" customFormat="1" ht="24.75" customHeight="1" x14ac:dyDescent="0.25"/>
    <row r="1338" s="79" customFormat="1" ht="24.75" customHeight="1" x14ac:dyDescent="0.25"/>
    <row r="1339" s="79" customFormat="1" ht="24.75" customHeight="1" x14ac:dyDescent="0.25"/>
    <row r="1340" s="79" customFormat="1" ht="24.75" customHeight="1" x14ac:dyDescent="0.25"/>
    <row r="1341" s="79" customFormat="1" ht="24.75" customHeight="1" x14ac:dyDescent="0.25"/>
    <row r="1342" s="79" customFormat="1" ht="24.75" customHeight="1" x14ac:dyDescent="0.25"/>
    <row r="1343" s="79" customFormat="1" ht="24.75" customHeight="1" x14ac:dyDescent="0.25"/>
    <row r="1344" s="79" customFormat="1" ht="24.75" customHeight="1" x14ac:dyDescent="0.25"/>
    <row r="1345" s="79" customFormat="1" ht="24.75" customHeight="1" x14ac:dyDescent="0.25"/>
    <row r="1346" s="79" customFormat="1" ht="24.75" customHeight="1" x14ac:dyDescent="0.25"/>
    <row r="1347" s="79" customFormat="1" ht="24.75" customHeight="1" x14ac:dyDescent="0.25"/>
    <row r="1348" s="79" customFormat="1" ht="24.75" customHeight="1" x14ac:dyDescent="0.25"/>
    <row r="1349" s="79" customFormat="1" ht="24.75" customHeight="1" x14ac:dyDescent="0.25"/>
    <row r="1350" s="79" customFormat="1" ht="24.75" customHeight="1" x14ac:dyDescent="0.25"/>
    <row r="1351" s="79" customFormat="1" ht="24.75" customHeight="1" x14ac:dyDescent="0.25"/>
    <row r="1352" s="79" customFormat="1" ht="24.75" customHeight="1" x14ac:dyDescent="0.25"/>
    <row r="1353" s="79" customFormat="1" ht="24.75" customHeight="1" x14ac:dyDescent="0.25"/>
    <row r="1354" s="79" customFormat="1" ht="24.75" customHeight="1" x14ac:dyDescent="0.25"/>
    <row r="1355" s="79" customFormat="1" ht="24.75" customHeight="1" x14ac:dyDescent="0.25"/>
    <row r="1356" s="79" customFormat="1" ht="24.75" customHeight="1" x14ac:dyDescent="0.25"/>
    <row r="1357" s="79" customFormat="1" ht="24.75" customHeight="1" x14ac:dyDescent="0.25"/>
    <row r="1358" s="79" customFormat="1" ht="24.75" customHeight="1" x14ac:dyDescent="0.25"/>
    <row r="1359" s="79" customFormat="1" ht="24.75" customHeight="1" x14ac:dyDescent="0.25"/>
    <row r="1360" s="79" customFormat="1" ht="24.75" customHeight="1" x14ac:dyDescent="0.25"/>
    <row r="1361" s="79" customFormat="1" ht="24.75" customHeight="1" x14ac:dyDescent="0.25"/>
    <row r="1362" s="79" customFormat="1" ht="24.75" customHeight="1" x14ac:dyDescent="0.25"/>
    <row r="1363" s="79" customFormat="1" ht="24.75" customHeight="1" x14ac:dyDescent="0.25"/>
    <row r="1364" s="79" customFormat="1" ht="24.75" customHeight="1" x14ac:dyDescent="0.25"/>
    <row r="1365" s="79" customFormat="1" ht="24.75" customHeight="1" x14ac:dyDescent="0.25"/>
    <row r="1366" s="79" customFormat="1" ht="24.75" customHeight="1" x14ac:dyDescent="0.25"/>
    <row r="1367" s="79" customFormat="1" ht="24.75" customHeight="1" x14ac:dyDescent="0.25"/>
    <row r="1368" s="79" customFormat="1" ht="24.75" customHeight="1" x14ac:dyDescent="0.25"/>
    <row r="1369" s="79" customFormat="1" ht="24.75" customHeight="1" x14ac:dyDescent="0.25"/>
    <row r="1370" s="79" customFormat="1" ht="24.75" customHeight="1" x14ac:dyDescent="0.25"/>
    <row r="1371" s="79" customFormat="1" ht="24.75" customHeight="1" x14ac:dyDescent="0.25"/>
    <row r="1372" s="79" customFormat="1" ht="24.75" customHeight="1" x14ac:dyDescent="0.25"/>
    <row r="1373" s="79" customFormat="1" ht="24.75" customHeight="1" x14ac:dyDescent="0.25"/>
    <row r="1374" s="79" customFormat="1" ht="24.75" customHeight="1" x14ac:dyDescent="0.25"/>
    <row r="1375" s="79" customFormat="1" ht="24.75" customHeight="1" x14ac:dyDescent="0.25"/>
    <row r="1376" s="79" customFormat="1" ht="24.75" customHeight="1" x14ac:dyDescent="0.25"/>
    <row r="1377" s="79" customFormat="1" ht="24.75" customHeight="1" x14ac:dyDescent="0.25"/>
    <row r="1378" s="79" customFormat="1" ht="24.75" customHeight="1" x14ac:dyDescent="0.25"/>
    <row r="1379" s="79" customFormat="1" ht="24.75" customHeight="1" x14ac:dyDescent="0.25"/>
    <row r="1380" s="79" customFormat="1" ht="24.75" customHeight="1" x14ac:dyDescent="0.25"/>
    <row r="1381" s="79" customFormat="1" ht="24.75" customHeight="1" x14ac:dyDescent="0.25"/>
    <row r="1382" s="79" customFormat="1" ht="24.75" customHeight="1" x14ac:dyDescent="0.25"/>
    <row r="1383" s="79" customFormat="1" ht="24.75" customHeight="1" x14ac:dyDescent="0.25"/>
    <row r="1384" s="79" customFormat="1" ht="24.75" customHeight="1" x14ac:dyDescent="0.25"/>
    <row r="1385" s="79" customFormat="1" ht="24.75" customHeight="1" x14ac:dyDescent="0.25"/>
    <row r="1386" s="79" customFormat="1" ht="24.75" customHeight="1" x14ac:dyDescent="0.25"/>
    <row r="1387" s="79" customFormat="1" ht="24.75" customHeight="1" x14ac:dyDescent="0.25"/>
    <row r="1388" s="79" customFormat="1" ht="24.75" customHeight="1" x14ac:dyDescent="0.25"/>
    <row r="1389" s="79" customFormat="1" ht="24.75" customHeight="1" x14ac:dyDescent="0.25"/>
    <row r="1390" s="79" customFormat="1" ht="24.75" customHeight="1" x14ac:dyDescent="0.25"/>
    <row r="1391" s="79" customFormat="1" ht="24.75" customHeight="1" x14ac:dyDescent="0.25"/>
    <row r="1392" s="79" customFormat="1" ht="24.75" customHeight="1" x14ac:dyDescent="0.25"/>
    <row r="1393" s="79" customFormat="1" ht="24.75" customHeight="1" x14ac:dyDescent="0.25"/>
    <row r="1394" s="79" customFormat="1" ht="24.75" customHeight="1" x14ac:dyDescent="0.25"/>
    <row r="1395" s="79" customFormat="1" ht="24.75" customHeight="1" x14ac:dyDescent="0.25"/>
    <row r="1396" s="79" customFormat="1" ht="24.75" customHeight="1" x14ac:dyDescent="0.25"/>
    <row r="1397" s="79" customFormat="1" ht="24.75" customHeight="1" x14ac:dyDescent="0.25"/>
    <row r="1398" s="79" customFormat="1" ht="24.75" customHeight="1" x14ac:dyDescent="0.25"/>
    <row r="1399" s="79" customFormat="1" ht="24.75" customHeight="1" x14ac:dyDescent="0.25"/>
    <row r="1400" s="79" customFormat="1" ht="24.75" customHeight="1" x14ac:dyDescent="0.25"/>
    <row r="1401" s="79" customFormat="1" ht="24.75" customHeight="1" x14ac:dyDescent="0.25"/>
    <row r="1402" s="79" customFormat="1" ht="24.75" customHeight="1" x14ac:dyDescent="0.25"/>
    <row r="1403" s="79" customFormat="1" ht="24.75" customHeight="1" x14ac:dyDescent="0.25"/>
    <row r="1404" s="79" customFormat="1" ht="24.75" customHeight="1" x14ac:dyDescent="0.25"/>
    <row r="1405" s="79" customFormat="1" ht="24.75" customHeight="1" x14ac:dyDescent="0.25"/>
    <row r="1406" s="79" customFormat="1" ht="24.75" customHeight="1" x14ac:dyDescent="0.25"/>
    <row r="1407" s="79" customFormat="1" ht="24.75" customHeight="1" x14ac:dyDescent="0.25"/>
    <row r="1408" s="79" customFormat="1" ht="24.75" customHeight="1" x14ac:dyDescent="0.25"/>
    <row r="1409" s="79" customFormat="1" ht="24.75" customHeight="1" x14ac:dyDescent="0.25"/>
    <row r="1410" s="79" customFormat="1" ht="24.75" customHeight="1" x14ac:dyDescent="0.25"/>
    <row r="1411" s="79" customFormat="1" ht="24.75" customHeight="1" x14ac:dyDescent="0.25"/>
    <row r="1412" s="79" customFormat="1" ht="24.75" customHeight="1" x14ac:dyDescent="0.25"/>
    <row r="1413" s="79" customFormat="1" ht="24.75" customHeight="1" x14ac:dyDescent="0.25"/>
    <row r="1414" s="79" customFormat="1" ht="24.75" customHeight="1" x14ac:dyDescent="0.25"/>
    <row r="1415" s="79" customFormat="1" ht="24.75" customHeight="1" x14ac:dyDescent="0.25"/>
    <row r="1416" s="79" customFormat="1" ht="24.75" customHeight="1" x14ac:dyDescent="0.25"/>
    <row r="1417" s="79" customFormat="1" ht="24.75" customHeight="1" x14ac:dyDescent="0.25"/>
    <row r="1418" s="79" customFormat="1" ht="24.75" customHeight="1" x14ac:dyDescent="0.25"/>
    <row r="1419" s="79" customFormat="1" ht="24.75" customHeight="1" x14ac:dyDescent="0.25"/>
    <row r="1420" s="79" customFormat="1" ht="24.75" customHeight="1" x14ac:dyDescent="0.25"/>
    <row r="1421" s="79" customFormat="1" ht="24.75" customHeight="1" x14ac:dyDescent="0.25"/>
    <row r="1422" s="79" customFormat="1" ht="24.75" customHeight="1" x14ac:dyDescent="0.25"/>
    <row r="1423" s="79" customFormat="1" ht="24.75" customHeight="1" x14ac:dyDescent="0.25"/>
    <row r="1424" s="79" customFormat="1" ht="24.75" customHeight="1" x14ac:dyDescent="0.25"/>
    <row r="1425" s="79" customFormat="1" ht="24.75" customHeight="1" x14ac:dyDescent="0.25"/>
    <row r="1426" s="79" customFormat="1" ht="24.75" customHeight="1" x14ac:dyDescent="0.25"/>
    <row r="1427" s="79" customFormat="1" ht="24.75" customHeight="1" x14ac:dyDescent="0.25"/>
    <row r="1428" s="79" customFormat="1" ht="24.75" customHeight="1" x14ac:dyDescent="0.25"/>
    <row r="1429" s="79" customFormat="1" ht="24.75" customHeight="1" x14ac:dyDescent="0.25"/>
    <row r="1430" s="79" customFormat="1" ht="24.75" customHeight="1" x14ac:dyDescent="0.25"/>
    <row r="1431" s="79" customFormat="1" ht="24.75" customHeight="1" x14ac:dyDescent="0.25"/>
    <row r="1432" s="79" customFormat="1" ht="24.75" customHeight="1" x14ac:dyDescent="0.25"/>
    <row r="1433" s="79" customFormat="1" ht="24.75" customHeight="1" x14ac:dyDescent="0.25"/>
    <row r="1434" s="79" customFormat="1" ht="24.75" customHeight="1" x14ac:dyDescent="0.25"/>
    <row r="1435" s="79" customFormat="1" ht="24.75" customHeight="1" x14ac:dyDescent="0.25"/>
    <row r="1436" s="79" customFormat="1" ht="24.75" customHeight="1" x14ac:dyDescent="0.25"/>
    <row r="1437" s="79" customFormat="1" ht="24.75" customHeight="1" x14ac:dyDescent="0.25"/>
    <row r="1438" s="79" customFormat="1" ht="24.75" customHeight="1" x14ac:dyDescent="0.25"/>
    <row r="1439" s="79" customFormat="1" ht="24.75" customHeight="1" x14ac:dyDescent="0.25"/>
    <row r="1440" s="79" customFormat="1" ht="24.75" customHeight="1" x14ac:dyDescent="0.25"/>
    <row r="1441" s="79" customFormat="1" ht="24.75" customHeight="1" x14ac:dyDescent="0.25"/>
    <row r="1442" s="79" customFormat="1" ht="24.75" customHeight="1" x14ac:dyDescent="0.25"/>
    <row r="1443" s="79" customFormat="1" ht="24.75" customHeight="1" x14ac:dyDescent="0.25"/>
    <row r="1444" s="79" customFormat="1" ht="24.75" customHeight="1" x14ac:dyDescent="0.25"/>
    <row r="1445" s="79" customFormat="1" ht="24.75" customHeight="1" x14ac:dyDescent="0.25"/>
    <row r="1446" s="79" customFormat="1" ht="24.75" customHeight="1" x14ac:dyDescent="0.25"/>
    <row r="1447" s="79" customFormat="1" ht="24.75" customHeight="1" x14ac:dyDescent="0.25"/>
    <row r="1448" s="79" customFormat="1" ht="24.75" customHeight="1" x14ac:dyDescent="0.25"/>
    <row r="1449" s="79" customFormat="1" ht="24.75" customHeight="1" x14ac:dyDescent="0.25"/>
    <row r="1450" s="79" customFormat="1" ht="24.75" customHeight="1" x14ac:dyDescent="0.25"/>
    <row r="1451" s="79" customFormat="1" ht="24.75" customHeight="1" x14ac:dyDescent="0.25"/>
    <row r="1452" s="79" customFormat="1" ht="24.75" customHeight="1" x14ac:dyDescent="0.25"/>
    <row r="1453" s="79" customFormat="1" ht="24.75" customHeight="1" x14ac:dyDescent="0.25"/>
    <row r="1454" s="79" customFormat="1" ht="24.75" customHeight="1" x14ac:dyDescent="0.25"/>
    <row r="1455" s="79" customFormat="1" ht="24.75" customHeight="1" x14ac:dyDescent="0.25"/>
    <row r="1456" s="79" customFormat="1" ht="24.75" customHeight="1" x14ac:dyDescent="0.25"/>
    <row r="1457" s="79" customFormat="1" ht="24.75" customHeight="1" x14ac:dyDescent="0.25"/>
    <row r="1458" s="79" customFormat="1" ht="24.75" customHeight="1" x14ac:dyDescent="0.25"/>
    <row r="1459" s="79" customFormat="1" ht="24.75" customHeight="1" x14ac:dyDescent="0.25"/>
    <row r="1460" s="79" customFormat="1" ht="24.75" customHeight="1" x14ac:dyDescent="0.25"/>
    <row r="1461" s="79" customFormat="1" ht="24.75" customHeight="1" x14ac:dyDescent="0.25"/>
    <row r="1462" s="79" customFormat="1" ht="24.75" customHeight="1" x14ac:dyDescent="0.25"/>
    <row r="1463" s="79" customFormat="1" ht="24.75" customHeight="1" x14ac:dyDescent="0.25"/>
    <row r="1464" s="79" customFormat="1" ht="24.75" customHeight="1" x14ac:dyDescent="0.25"/>
    <row r="1465" s="79" customFormat="1" ht="24.75" customHeight="1" x14ac:dyDescent="0.25"/>
    <row r="1466" s="79" customFormat="1" ht="24.75" customHeight="1" x14ac:dyDescent="0.25"/>
    <row r="1467" s="79" customFormat="1" ht="24.75" customHeight="1" x14ac:dyDescent="0.25"/>
    <row r="1468" s="79" customFormat="1" ht="24.75" customHeight="1" x14ac:dyDescent="0.25"/>
    <row r="1469" s="79" customFormat="1" ht="24.75" customHeight="1" x14ac:dyDescent="0.25"/>
    <row r="1470" s="79" customFormat="1" ht="24.75" customHeight="1" x14ac:dyDescent="0.25"/>
    <row r="1471" s="79" customFormat="1" ht="24.75" customHeight="1" x14ac:dyDescent="0.25"/>
    <row r="1472" s="79" customFormat="1" ht="24.75" customHeight="1" x14ac:dyDescent="0.25"/>
    <row r="1473" s="79" customFormat="1" ht="24.75" customHeight="1" x14ac:dyDescent="0.25"/>
    <row r="1474" s="79" customFormat="1" ht="24.75" customHeight="1" x14ac:dyDescent="0.25"/>
    <row r="1475" s="79" customFormat="1" ht="24.75" customHeight="1" x14ac:dyDescent="0.25"/>
    <row r="1476" s="79" customFormat="1" ht="24.75" customHeight="1" x14ac:dyDescent="0.25"/>
    <row r="1477" s="79" customFormat="1" ht="24.75" customHeight="1" x14ac:dyDescent="0.25"/>
    <row r="1478" s="79" customFormat="1" ht="24.75" customHeight="1" x14ac:dyDescent="0.25"/>
    <row r="1479" s="79" customFormat="1" ht="24.75" customHeight="1" x14ac:dyDescent="0.25"/>
    <row r="1480" s="79" customFormat="1" ht="24.75" customHeight="1" x14ac:dyDescent="0.25"/>
    <row r="1481" s="79" customFormat="1" ht="24.75" customHeight="1" x14ac:dyDescent="0.25"/>
    <row r="1482" s="79" customFormat="1" ht="24.75" customHeight="1" x14ac:dyDescent="0.25"/>
    <row r="1483" s="79" customFormat="1" ht="24.75" customHeight="1" x14ac:dyDescent="0.25"/>
    <row r="1484" s="79" customFormat="1" ht="24.75" customHeight="1" x14ac:dyDescent="0.25"/>
    <row r="1485" s="79" customFormat="1" ht="24.75" customHeight="1" x14ac:dyDescent="0.25"/>
    <row r="1486" s="79" customFormat="1" ht="24.75" customHeight="1" x14ac:dyDescent="0.25"/>
    <row r="1487" s="79" customFormat="1" ht="24.75" customHeight="1" x14ac:dyDescent="0.25"/>
    <row r="1488" s="79" customFormat="1" ht="24.75" customHeight="1" x14ac:dyDescent="0.25"/>
    <row r="1489" s="79" customFormat="1" ht="24.75" customHeight="1" x14ac:dyDescent="0.25"/>
    <row r="1490" s="79" customFormat="1" ht="24.75" customHeight="1" x14ac:dyDescent="0.25"/>
    <row r="1491" s="79" customFormat="1" ht="24.75" customHeight="1" x14ac:dyDescent="0.25"/>
    <row r="1492" s="79" customFormat="1" ht="24.75" customHeight="1" x14ac:dyDescent="0.25"/>
    <row r="1493" s="79" customFormat="1" ht="24.75" customHeight="1" x14ac:dyDescent="0.25"/>
    <row r="1494" s="79" customFormat="1" ht="24.75" customHeight="1" x14ac:dyDescent="0.25"/>
    <row r="1495" s="79" customFormat="1" ht="24.75" customHeight="1" x14ac:dyDescent="0.25"/>
    <row r="1496" s="79" customFormat="1" ht="24.75" customHeight="1" x14ac:dyDescent="0.25"/>
    <row r="1497" s="79" customFormat="1" ht="24.75" customHeight="1" x14ac:dyDescent="0.25"/>
    <row r="1498" s="79" customFormat="1" ht="24.75" customHeight="1" x14ac:dyDescent="0.25"/>
    <row r="1499" s="79" customFormat="1" ht="24.75" customHeight="1" x14ac:dyDescent="0.25"/>
    <row r="1500" s="79" customFormat="1" ht="24.75" customHeight="1" x14ac:dyDescent="0.25"/>
    <row r="1501" s="79" customFormat="1" ht="24.75" customHeight="1" x14ac:dyDescent="0.25"/>
    <row r="1502" s="79" customFormat="1" ht="24.75" customHeight="1" x14ac:dyDescent="0.25"/>
    <row r="1503" s="79" customFormat="1" ht="24.75" customHeight="1" x14ac:dyDescent="0.25"/>
    <row r="1504" s="79" customFormat="1" ht="24.75" customHeight="1" x14ac:dyDescent="0.25"/>
    <row r="1505" s="79" customFormat="1" ht="24.75" customHeight="1" x14ac:dyDescent="0.25"/>
    <row r="1506" s="79" customFormat="1" ht="24.75" customHeight="1" x14ac:dyDescent="0.25"/>
    <row r="1507" s="79" customFormat="1" ht="24.75" customHeight="1" x14ac:dyDescent="0.25"/>
    <row r="1508" s="79" customFormat="1" ht="24.75" customHeight="1" x14ac:dyDescent="0.25"/>
    <row r="1509" s="79" customFormat="1" ht="24.75" customHeight="1" x14ac:dyDescent="0.25"/>
    <row r="1510" s="79" customFormat="1" ht="24.75" customHeight="1" x14ac:dyDescent="0.25"/>
    <row r="1511" s="79" customFormat="1" ht="24.75" customHeight="1" x14ac:dyDescent="0.25"/>
    <row r="1512" s="79" customFormat="1" ht="24.75" customHeight="1" x14ac:dyDescent="0.25"/>
    <row r="1513" s="79" customFormat="1" ht="24.75" customHeight="1" x14ac:dyDescent="0.25"/>
    <row r="1514" s="79" customFormat="1" ht="24.75" customHeight="1" x14ac:dyDescent="0.25"/>
    <row r="1515" s="79" customFormat="1" ht="24.75" customHeight="1" x14ac:dyDescent="0.25"/>
    <row r="1516" s="79" customFormat="1" ht="24.75" customHeight="1" x14ac:dyDescent="0.25"/>
    <row r="1517" s="79" customFormat="1" ht="24.75" customHeight="1" x14ac:dyDescent="0.25"/>
    <row r="1518" s="79" customFormat="1" ht="24.75" customHeight="1" x14ac:dyDescent="0.25"/>
    <row r="1519" s="79" customFormat="1" ht="24.75" customHeight="1" x14ac:dyDescent="0.25"/>
    <row r="1520" s="79" customFormat="1" ht="24.75" customHeight="1" x14ac:dyDescent="0.25"/>
    <row r="1521" s="79" customFormat="1" ht="24.75" customHeight="1" x14ac:dyDescent="0.25"/>
    <row r="1522" s="79" customFormat="1" ht="24.75" customHeight="1" x14ac:dyDescent="0.25"/>
    <row r="1523" s="79" customFormat="1" ht="24.75" customHeight="1" x14ac:dyDescent="0.25"/>
    <row r="1524" s="79" customFormat="1" ht="24.75" customHeight="1" x14ac:dyDescent="0.25"/>
    <row r="1525" s="79" customFormat="1" ht="24.75" customHeight="1" x14ac:dyDescent="0.25"/>
    <row r="1526" s="79" customFormat="1" ht="24.75" customHeight="1" x14ac:dyDescent="0.25"/>
    <row r="1527" s="79" customFormat="1" ht="24.75" customHeight="1" x14ac:dyDescent="0.25"/>
    <row r="1528" s="79" customFormat="1" ht="24.75" customHeight="1" x14ac:dyDescent="0.25"/>
    <row r="1529" s="79" customFormat="1" ht="24.75" customHeight="1" x14ac:dyDescent="0.25"/>
    <row r="1530" s="79" customFormat="1" ht="24.75" customHeight="1" x14ac:dyDescent="0.25"/>
    <row r="1531" s="79" customFormat="1" ht="24.75" customHeight="1" x14ac:dyDescent="0.25"/>
    <row r="1532" s="79" customFormat="1" ht="24.75" customHeight="1" x14ac:dyDescent="0.25"/>
    <row r="1533" s="79" customFormat="1" ht="24.75" customHeight="1" x14ac:dyDescent="0.25"/>
    <row r="1534" s="79" customFormat="1" ht="24.75" customHeight="1" x14ac:dyDescent="0.25"/>
    <row r="1535" s="79" customFormat="1" ht="24.75" customHeight="1" x14ac:dyDescent="0.25"/>
    <row r="1536" s="79" customFormat="1" ht="24.75" customHeight="1" x14ac:dyDescent="0.25"/>
    <row r="1537" s="79" customFormat="1" ht="24.75" customHeight="1" x14ac:dyDescent="0.25"/>
    <row r="1538" s="79" customFormat="1" ht="24.75" customHeight="1" x14ac:dyDescent="0.25"/>
    <row r="1539" s="79" customFormat="1" ht="24.75" customHeight="1" x14ac:dyDescent="0.25"/>
    <row r="1540" s="79" customFormat="1" ht="24.75" customHeight="1" x14ac:dyDescent="0.25"/>
    <row r="1541" s="79" customFormat="1" ht="24.75" customHeight="1" x14ac:dyDescent="0.25"/>
    <row r="1542" s="79" customFormat="1" ht="24.75" customHeight="1" x14ac:dyDescent="0.25"/>
    <row r="1543" s="79" customFormat="1" ht="24.75" customHeight="1" x14ac:dyDescent="0.25"/>
    <row r="1544" s="79" customFormat="1" ht="24.75" customHeight="1" x14ac:dyDescent="0.25"/>
    <row r="1545" s="79" customFormat="1" ht="24.75" customHeight="1" x14ac:dyDescent="0.25"/>
    <row r="1546" s="79" customFormat="1" ht="24.75" customHeight="1" x14ac:dyDescent="0.25"/>
    <row r="1547" s="79" customFormat="1" ht="24.75" customHeight="1" x14ac:dyDescent="0.25"/>
    <row r="1548" s="79" customFormat="1" ht="24.75" customHeight="1" x14ac:dyDescent="0.25"/>
    <row r="1549" s="79" customFormat="1" ht="24.75" customHeight="1" x14ac:dyDescent="0.25"/>
    <row r="1550" s="79" customFormat="1" ht="24.75" customHeight="1" x14ac:dyDescent="0.25"/>
    <row r="1551" s="79" customFormat="1" ht="24.75" customHeight="1" x14ac:dyDescent="0.25"/>
    <row r="1552" s="79" customFormat="1" ht="24.75" customHeight="1" x14ac:dyDescent="0.25"/>
    <row r="1553" s="79" customFormat="1" ht="24.75" customHeight="1" x14ac:dyDescent="0.25"/>
    <row r="1554" s="79" customFormat="1" ht="24.75" customHeight="1" x14ac:dyDescent="0.25"/>
    <row r="1555" s="79" customFormat="1" ht="24.75" customHeight="1" x14ac:dyDescent="0.25"/>
    <row r="1556" s="79" customFormat="1" ht="24.75" customHeight="1" x14ac:dyDescent="0.25"/>
    <row r="1557" s="79" customFormat="1" ht="24.75" customHeight="1" x14ac:dyDescent="0.25"/>
    <row r="1558" s="79" customFormat="1" ht="24.75" customHeight="1" x14ac:dyDescent="0.25"/>
    <row r="1559" s="79" customFormat="1" ht="24.75" customHeight="1" x14ac:dyDescent="0.25"/>
    <row r="1560" s="79" customFormat="1" ht="24.75" customHeight="1" x14ac:dyDescent="0.25"/>
    <row r="1561" s="79" customFormat="1" ht="24.75" customHeight="1" x14ac:dyDescent="0.25"/>
    <row r="1562" s="79" customFormat="1" ht="24.75" customHeight="1" x14ac:dyDescent="0.25"/>
    <row r="1563" s="79" customFormat="1" ht="24.75" customHeight="1" x14ac:dyDescent="0.25"/>
    <row r="1564" s="79" customFormat="1" ht="24.75" customHeight="1" x14ac:dyDescent="0.25"/>
    <row r="1565" s="79" customFormat="1" ht="24.75" customHeight="1" x14ac:dyDescent="0.25"/>
    <row r="1566" s="79" customFormat="1" ht="24.75" customHeight="1" x14ac:dyDescent="0.25"/>
    <row r="1567" s="79" customFormat="1" ht="24.75" customHeight="1" x14ac:dyDescent="0.25"/>
    <row r="1568" s="79" customFormat="1" ht="24.75" customHeight="1" x14ac:dyDescent="0.25"/>
    <row r="1569" s="79" customFormat="1" ht="24.75" customHeight="1" x14ac:dyDescent="0.25"/>
    <row r="1570" s="79" customFormat="1" ht="24.75" customHeight="1" x14ac:dyDescent="0.25"/>
    <row r="1571" s="79" customFormat="1" ht="24.75" customHeight="1" x14ac:dyDescent="0.25"/>
    <row r="1572" s="79" customFormat="1" ht="24.75" customHeight="1" x14ac:dyDescent="0.25"/>
    <row r="1573" s="79" customFormat="1" ht="24.75" customHeight="1" x14ac:dyDescent="0.25"/>
    <row r="1574" s="79" customFormat="1" ht="24.75" customHeight="1" x14ac:dyDescent="0.25"/>
    <row r="1575" s="79" customFormat="1" ht="24.75" customHeight="1" x14ac:dyDescent="0.25"/>
    <row r="1576" s="79" customFormat="1" ht="24.75" customHeight="1" x14ac:dyDescent="0.25"/>
    <row r="1577" s="79" customFormat="1" ht="24.75" customHeight="1" x14ac:dyDescent="0.25"/>
    <row r="1578" s="79" customFormat="1" ht="24.75" customHeight="1" x14ac:dyDescent="0.25"/>
    <row r="1579" s="79" customFormat="1" ht="24.75" customHeight="1" x14ac:dyDescent="0.25"/>
    <row r="1580" s="79" customFormat="1" ht="24.75" customHeight="1" x14ac:dyDescent="0.25"/>
    <row r="1581" s="79" customFormat="1" ht="24.75" customHeight="1" x14ac:dyDescent="0.25"/>
    <row r="1582" s="79" customFormat="1" ht="24.75" customHeight="1" x14ac:dyDescent="0.25"/>
    <row r="1583" s="79" customFormat="1" ht="24.75" customHeight="1" x14ac:dyDescent="0.25"/>
    <row r="1584" s="79" customFormat="1" ht="24.75" customHeight="1" x14ac:dyDescent="0.25"/>
    <row r="1585" s="79" customFormat="1" ht="24.75" customHeight="1" x14ac:dyDescent="0.25"/>
    <row r="1586" s="79" customFormat="1" ht="24.75" customHeight="1" x14ac:dyDescent="0.25"/>
    <row r="1587" s="79" customFormat="1" ht="24.75" customHeight="1" x14ac:dyDescent="0.25"/>
    <row r="1588" s="79" customFormat="1" ht="24.75" customHeight="1" x14ac:dyDescent="0.25"/>
    <row r="1589" s="79" customFormat="1" ht="24.75" customHeight="1" x14ac:dyDescent="0.25"/>
    <row r="1590" s="79" customFormat="1" ht="24.75" customHeight="1" x14ac:dyDescent="0.25"/>
    <row r="1591" s="79" customFormat="1" ht="24.75" customHeight="1" x14ac:dyDescent="0.25"/>
    <row r="1592" s="79" customFormat="1" ht="24.75" customHeight="1" x14ac:dyDescent="0.25"/>
    <row r="1593" s="79" customFormat="1" ht="24.75" customHeight="1" x14ac:dyDescent="0.25"/>
    <row r="1594" s="79" customFormat="1" ht="24.75" customHeight="1" x14ac:dyDescent="0.25"/>
    <row r="1595" s="79" customFormat="1" ht="24.75" customHeight="1" x14ac:dyDescent="0.25"/>
    <row r="1596" s="79" customFormat="1" ht="24.75" customHeight="1" x14ac:dyDescent="0.25"/>
    <row r="1597" s="79" customFormat="1" ht="24.75" customHeight="1" x14ac:dyDescent="0.25"/>
    <row r="1598" s="79" customFormat="1" ht="24.75" customHeight="1" x14ac:dyDescent="0.25"/>
    <row r="1599" s="79" customFormat="1" ht="24.75" customHeight="1" x14ac:dyDescent="0.25"/>
    <row r="1600" s="79" customFormat="1" ht="24.75" customHeight="1" x14ac:dyDescent="0.25"/>
    <row r="1601" s="79" customFormat="1" ht="24.75" customHeight="1" x14ac:dyDescent="0.25"/>
    <row r="1602" s="79" customFormat="1" ht="24.75" customHeight="1" x14ac:dyDescent="0.25"/>
    <row r="1603" s="79" customFormat="1" ht="24.75" customHeight="1" x14ac:dyDescent="0.25"/>
    <row r="1604" s="79" customFormat="1" ht="24.75" customHeight="1" x14ac:dyDescent="0.25"/>
    <row r="1605" s="79" customFormat="1" ht="24.75" customHeight="1" x14ac:dyDescent="0.25"/>
    <row r="1606" s="79" customFormat="1" ht="24.75" customHeight="1" x14ac:dyDescent="0.25"/>
    <row r="1607" s="79" customFormat="1" ht="24.75" customHeight="1" x14ac:dyDescent="0.25"/>
    <row r="1608" s="79" customFormat="1" ht="24.75" customHeight="1" x14ac:dyDescent="0.25"/>
    <row r="1609" s="79" customFormat="1" ht="24.75" customHeight="1" x14ac:dyDescent="0.25"/>
    <row r="1610" s="79" customFormat="1" ht="24.75" customHeight="1" x14ac:dyDescent="0.25"/>
    <row r="1611" s="79" customFormat="1" ht="24.75" customHeight="1" x14ac:dyDescent="0.25"/>
    <row r="1612" s="79" customFormat="1" ht="24.75" customHeight="1" x14ac:dyDescent="0.25"/>
    <row r="1613" s="79" customFormat="1" ht="24.75" customHeight="1" x14ac:dyDescent="0.25"/>
    <row r="1614" s="79" customFormat="1" ht="24.75" customHeight="1" x14ac:dyDescent="0.25"/>
    <row r="1615" s="79" customFormat="1" ht="24.75" customHeight="1" x14ac:dyDescent="0.25"/>
    <row r="1616" s="79" customFormat="1" ht="24.75" customHeight="1" x14ac:dyDescent="0.25"/>
    <row r="1617" s="79" customFormat="1" ht="24.75" customHeight="1" x14ac:dyDescent="0.25"/>
    <row r="1618" s="79" customFormat="1" ht="24.75" customHeight="1" x14ac:dyDescent="0.25"/>
    <row r="1619" s="79" customFormat="1" ht="24.75" customHeight="1" x14ac:dyDescent="0.25"/>
    <row r="1620" s="79" customFormat="1" ht="24.75" customHeight="1" x14ac:dyDescent="0.25"/>
    <row r="1621" s="79" customFormat="1" ht="24.75" customHeight="1" x14ac:dyDescent="0.25"/>
    <row r="1622" s="79" customFormat="1" ht="24.75" customHeight="1" x14ac:dyDescent="0.25"/>
    <row r="1623" s="79" customFormat="1" ht="24.75" customHeight="1" x14ac:dyDescent="0.25"/>
    <row r="1624" s="79" customFormat="1" ht="24.75" customHeight="1" x14ac:dyDescent="0.25"/>
    <row r="1625" s="79" customFormat="1" ht="24.75" customHeight="1" x14ac:dyDescent="0.25"/>
    <row r="1626" s="79" customFormat="1" ht="24.75" customHeight="1" x14ac:dyDescent="0.25"/>
    <row r="1627" s="79" customFormat="1" ht="24.75" customHeight="1" x14ac:dyDescent="0.25"/>
    <row r="1628" s="79" customFormat="1" ht="24.75" customHeight="1" x14ac:dyDescent="0.25"/>
    <row r="1629" s="79" customFormat="1" ht="24.75" customHeight="1" x14ac:dyDescent="0.25"/>
    <row r="1630" s="79" customFormat="1" ht="24.75" customHeight="1" x14ac:dyDescent="0.25"/>
    <row r="1631" s="79" customFormat="1" ht="24.75" customHeight="1" x14ac:dyDescent="0.25"/>
    <row r="1632" s="79" customFormat="1" ht="24.75" customHeight="1" x14ac:dyDescent="0.25"/>
    <row r="1633" s="79" customFormat="1" ht="24.75" customHeight="1" x14ac:dyDescent="0.25"/>
    <row r="1634" s="79" customFormat="1" ht="24.75" customHeight="1" x14ac:dyDescent="0.25"/>
    <row r="1635" s="79" customFormat="1" ht="24.75" customHeight="1" x14ac:dyDescent="0.25"/>
    <row r="1636" s="79" customFormat="1" ht="24.75" customHeight="1" x14ac:dyDescent="0.25"/>
    <row r="1637" s="79" customFormat="1" ht="24.75" customHeight="1" x14ac:dyDescent="0.25"/>
    <row r="1638" s="79" customFormat="1" ht="24.75" customHeight="1" x14ac:dyDescent="0.25"/>
    <row r="1639" s="79" customFormat="1" ht="24.75" customHeight="1" x14ac:dyDescent="0.25"/>
    <row r="1640" s="79" customFormat="1" ht="24.75" customHeight="1" x14ac:dyDescent="0.25"/>
    <row r="1641" s="79" customFormat="1" ht="24.75" customHeight="1" x14ac:dyDescent="0.25"/>
    <row r="1642" s="79" customFormat="1" ht="24.75" customHeight="1" x14ac:dyDescent="0.25"/>
    <row r="1643" s="79" customFormat="1" ht="24.75" customHeight="1" x14ac:dyDescent="0.25"/>
    <row r="1644" s="79" customFormat="1" ht="24.75" customHeight="1" x14ac:dyDescent="0.25"/>
    <row r="1645" s="79" customFormat="1" ht="24.75" customHeight="1" x14ac:dyDescent="0.25"/>
    <row r="1646" s="79" customFormat="1" ht="24.75" customHeight="1" x14ac:dyDescent="0.25"/>
    <row r="1647" s="79" customFormat="1" ht="24.75" customHeight="1" x14ac:dyDescent="0.25"/>
    <row r="1648" s="79" customFormat="1" ht="24.75" customHeight="1" x14ac:dyDescent="0.25"/>
    <row r="1649" s="79" customFormat="1" ht="24.75" customHeight="1" x14ac:dyDescent="0.25"/>
    <row r="1650" s="79" customFormat="1" ht="24.75" customHeight="1" x14ac:dyDescent="0.25"/>
    <row r="1651" s="79" customFormat="1" ht="24.75" customHeight="1" x14ac:dyDescent="0.25"/>
    <row r="1652" s="79" customFormat="1" ht="24.75" customHeight="1" x14ac:dyDescent="0.25"/>
    <row r="1653" s="79" customFormat="1" ht="24.75" customHeight="1" x14ac:dyDescent="0.25"/>
    <row r="1654" s="79" customFormat="1" ht="24.75" customHeight="1" x14ac:dyDescent="0.25"/>
    <row r="1655" s="79" customFormat="1" ht="24.75" customHeight="1" x14ac:dyDescent="0.25"/>
    <row r="1656" s="79" customFormat="1" ht="24.75" customHeight="1" x14ac:dyDescent="0.25"/>
    <row r="1657" s="79" customFormat="1" ht="24.75" customHeight="1" x14ac:dyDescent="0.25"/>
    <row r="1658" s="79" customFormat="1" ht="24.75" customHeight="1" x14ac:dyDescent="0.25"/>
    <row r="1659" s="79" customFormat="1" ht="24.75" customHeight="1" x14ac:dyDescent="0.25"/>
    <row r="1660" s="79" customFormat="1" ht="24.75" customHeight="1" x14ac:dyDescent="0.25"/>
    <row r="1661" s="79" customFormat="1" ht="24.75" customHeight="1" x14ac:dyDescent="0.25"/>
    <row r="1662" s="79" customFormat="1" ht="24.75" customHeight="1" x14ac:dyDescent="0.25"/>
    <row r="1663" s="79" customFormat="1" ht="24.75" customHeight="1" x14ac:dyDescent="0.25"/>
    <row r="1664" s="79" customFormat="1" ht="24.75" customHeight="1" x14ac:dyDescent="0.25"/>
    <row r="1665" s="79" customFormat="1" ht="24.75" customHeight="1" x14ac:dyDescent="0.25"/>
    <row r="1666" s="79" customFormat="1" ht="24.75" customHeight="1" x14ac:dyDescent="0.25"/>
    <row r="1667" s="79" customFormat="1" ht="24.75" customHeight="1" x14ac:dyDescent="0.25"/>
    <row r="1668" s="79" customFormat="1" ht="24.75" customHeight="1" x14ac:dyDescent="0.25"/>
    <row r="1669" s="79" customFormat="1" ht="24.75" customHeight="1" x14ac:dyDescent="0.25"/>
    <row r="1670" s="79" customFormat="1" ht="24.75" customHeight="1" x14ac:dyDescent="0.25"/>
    <row r="1671" s="79" customFormat="1" ht="24.75" customHeight="1" x14ac:dyDescent="0.25"/>
    <row r="1672" s="79" customFormat="1" ht="24.75" customHeight="1" x14ac:dyDescent="0.25"/>
    <row r="1673" s="79" customFormat="1" ht="24.75" customHeight="1" x14ac:dyDescent="0.25"/>
    <row r="1674" s="79" customFormat="1" ht="24.75" customHeight="1" x14ac:dyDescent="0.25"/>
    <row r="1675" s="79" customFormat="1" ht="24.75" customHeight="1" x14ac:dyDescent="0.25"/>
    <row r="1676" s="79" customFormat="1" ht="24.75" customHeight="1" x14ac:dyDescent="0.25"/>
    <row r="1677" s="79" customFormat="1" ht="24.75" customHeight="1" x14ac:dyDescent="0.25"/>
    <row r="1678" s="79" customFormat="1" ht="24.75" customHeight="1" x14ac:dyDescent="0.25"/>
    <row r="1679" s="79" customFormat="1" ht="24.75" customHeight="1" x14ac:dyDescent="0.25"/>
    <row r="1680" s="79" customFormat="1" ht="24.75" customHeight="1" x14ac:dyDescent="0.25"/>
    <row r="1681" s="79" customFormat="1" ht="24.75" customHeight="1" x14ac:dyDescent="0.25"/>
    <row r="1682" s="79" customFormat="1" ht="24.75" customHeight="1" x14ac:dyDescent="0.25"/>
    <row r="1683" s="79" customFormat="1" ht="24.75" customHeight="1" x14ac:dyDescent="0.25"/>
    <row r="1684" s="79" customFormat="1" ht="24.75" customHeight="1" x14ac:dyDescent="0.25"/>
    <row r="1685" s="79" customFormat="1" ht="24.75" customHeight="1" x14ac:dyDescent="0.25"/>
    <row r="1686" s="79" customFormat="1" ht="24.75" customHeight="1" x14ac:dyDescent="0.25"/>
    <row r="1687" s="79" customFormat="1" ht="24.75" customHeight="1" x14ac:dyDescent="0.25"/>
    <row r="1688" s="79" customFormat="1" ht="24.75" customHeight="1" x14ac:dyDescent="0.25"/>
    <row r="1689" s="79" customFormat="1" ht="24.75" customHeight="1" x14ac:dyDescent="0.25"/>
    <row r="1690" s="79" customFormat="1" ht="24.75" customHeight="1" x14ac:dyDescent="0.25"/>
    <row r="1691" s="79" customFormat="1" ht="24.75" customHeight="1" x14ac:dyDescent="0.25"/>
    <row r="1692" s="79" customFormat="1" ht="24.75" customHeight="1" x14ac:dyDescent="0.25"/>
    <row r="1693" s="79" customFormat="1" ht="24.75" customHeight="1" x14ac:dyDescent="0.25"/>
    <row r="1694" s="79" customFormat="1" ht="24.75" customHeight="1" x14ac:dyDescent="0.25"/>
    <row r="1695" s="79" customFormat="1" ht="24.75" customHeight="1" x14ac:dyDescent="0.25"/>
    <row r="1696" s="79" customFormat="1" ht="24.75" customHeight="1" x14ac:dyDescent="0.25"/>
    <row r="1697" s="79" customFormat="1" ht="24.75" customHeight="1" x14ac:dyDescent="0.25"/>
    <row r="1698" s="79" customFormat="1" ht="24.75" customHeight="1" x14ac:dyDescent="0.25"/>
    <row r="1699" s="79" customFormat="1" ht="24.75" customHeight="1" x14ac:dyDescent="0.25"/>
    <row r="1700" s="79" customFormat="1" ht="24.75" customHeight="1" x14ac:dyDescent="0.25"/>
    <row r="1701" s="79" customFormat="1" ht="24.75" customHeight="1" x14ac:dyDescent="0.25"/>
    <row r="1702" s="79" customFormat="1" ht="24.75" customHeight="1" x14ac:dyDescent="0.25"/>
    <row r="1703" s="79" customFormat="1" ht="24.75" customHeight="1" x14ac:dyDescent="0.25"/>
    <row r="1704" s="79" customFormat="1" ht="24.75" customHeight="1" x14ac:dyDescent="0.25"/>
    <row r="1705" s="79" customFormat="1" ht="24.75" customHeight="1" x14ac:dyDescent="0.25"/>
    <row r="1706" s="79" customFormat="1" ht="24.75" customHeight="1" x14ac:dyDescent="0.25"/>
    <row r="1707" s="79" customFormat="1" ht="24.75" customHeight="1" x14ac:dyDescent="0.25"/>
    <row r="1708" s="79" customFormat="1" ht="24.75" customHeight="1" x14ac:dyDescent="0.25"/>
    <row r="1709" s="79" customFormat="1" ht="24.75" customHeight="1" x14ac:dyDescent="0.25"/>
    <row r="1710" s="79" customFormat="1" ht="24.75" customHeight="1" x14ac:dyDescent="0.25"/>
    <row r="1711" s="79" customFormat="1" ht="24.75" customHeight="1" x14ac:dyDescent="0.25"/>
    <row r="1712" s="79" customFormat="1" ht="24.75" customHeight="1" x14ac:dyDescent="0.25"/>
    <row r="1713" s="79" customFormat="1" ht="24.75" customHeight="1" x14ac:dyDescent="0.25"/>
    <row r="1714" s="79" customFormat="1" ht="24.75" customHeight="1" x14ac:dyDescent="0.25"/>
    <row r="1715" s="79" customFormat="1" ht="24.75" customHeight="1" x14ac:dyDescent="0.25"/>
    <row r="1716" s="79" customFormat="1" ht="24.75" customHeight="1" x14ac:dyDescent="0.25"/>
    <row r="1717" s="79" customFormat="1" ht="24.75" customHeight="1" x14ac:dyDescent="0.25"/>
    <row r="1718" s="79" customFormat="1" ht="24.75" customHeight="1" x14ac:dyDescent="0.25"/>
    <row r="1719" s="79" customFormat="1" ht="24.75" customHeight="1" x14ac:dyDescent="0.25"/>
    <row r="1720" s="79" customFormat="1" ht="24.75" customHeight="1" x14ac:dyDescent="0.25"/>
    <row r="1721" s="79" customFormat="1" ht="24.75" customHeight="1" x14ac:dyDescent="0.25"/>
    <row r="1722" s="79" customFormat="1" ht="24.75" customHeight="1" x14ac:dyDescent="0.25"/>
    <row r="1723" s="79" customFormat="1" ht="24.75" customHeight="1" x14ac:dyDescent="0.25"/>
    <row r="1724" s="79" customFormat="1" ht="24.75" customHeight="1" x14ac:dyDescent="0.25"/>
    <row r="1725" s="79" customFormat="1" ht="24.75" customHeight="1" x14ac:dyDescent="0.25"/>
    <row r="1726" s="79" customFormat="1" ht="24.75" customHeight="1" x14ac:dyDescent="0.25"/>
    <row r="1727" s="79" customFormat="1" ht="24.75" customHeight="1" x14ac:dyDescent="0.25"/>
    <row r="1728" s="79" customFormat="1" ht="24.75" customHeight="1" x14ac:dyDescent="0.25"/>
    <row r="1729" s="79" customFormat="1" ht="24.75" customHeight="1" x14ac:dyDescent="0.25"/>
    <row r="1730" s="79" customFormat="1" ht="24.75" customHeight="1" x14ac:dyDescent="0.25"/>
    <row r="1731" s="79" customFormat="1" ht="24.75" customHeight="1" x14ac:dyDescent="0.25"/>
    <row r="1732" s="79" customFormat="1" ht="24.75" customHeight="1" x14ac:dyDescent="0.25"/>
    <row r="1733" s="79" customFormat="1" ht="24.75" customHeight="1" x14ac:dyDescent="0.25"/>
    <row r="1734" s="79" customFormat="1" ht="24.75" customHeight="1" x14ac:dyDescent="0.25"/>
    <row r="1735" s="79" customFormat="1" ht="24.75" customHeight="1" x14ac:dyDescent="0.25"/>
    <row r="1736" s="79" customFormat="1" ht="24.75" customHeight="1" x14ac:dyDescent="0.25"/>
    <row r="1737" s="79" customFormat="1" ht="24.75" customHeight="1" x14ac:dyDescent="0.25"/>
    <row r="1738" s="79" customFormat="1" ht="24.75" customHeight="1" x14ac:dyDescent="0.25"/>
    <row r="1739" s="79" customFormat="1" ht="24.75" customHeight="1" x14ac:dyDescent="0.25"/>
    <row r="1740" s="79" customFormat="1" ht="24.75" customHeight="1" x14ac:dyDescent="0.25"/>
    <row r="1741" s="79" customFormat="1" ht="24.75" customHeight="1" x14ac:dyDescent="0.25"/>
    <row r="1742" s="79" customFormat="1" ht="24.75" customHeight="1" x14ac:dyDescent="0.25"/>
    <row r="1743" s="79" customFormat="1" ht="24.75" customHeight="1" x14ac:dyDescent="0.25"/>
    <row r="1744" s="79" customFormat="1" ht="24.75" customHeight="1" x14ac:dyDescent="0.25"/>
    <row r="1745" s="79" customFormat="1" ht="24.75" customHeight="1" x14ac:dyDescent="0.25"/>
    <row r="1746" s="79" customFormat="1" ht="24.75" customHeight="1" x14ac:dyDescent="0.25"/>
    <row r="1747" s="79" customFormat="1" ht="24.75" customHeight="1" x14ac:dyDescent="0.25"/>
    <row r="1748" s="79" customFormat="1" ht="24.75" customHeight="1" x14ac:dyDescent="0.25"/>
    <row r="1749" s="79" customFormat="1" ht="24.75" customHeight="1" x14ac:dyDescent="0.25"/>
    <row r="1750" s="79" customFormat="1" ht="24.75" customHeight="1" x14ac:dyDescent="0.25"/>
    <row r="1751" s="79" customFormat="1" ht="24.75" customHeight="1" x14ac:dyDescent="0.25"/>
    <row r="1752" s="79" customFormat="1" ht="24.75" customHeight="1" x14ac:dyDescent="0.25"/>
    <row r="1753" s="79" customFormat="1" ht="24.75" customHeight="1" x14ac:dyDescent="0.25"/>
    <row r="1754" s="79" customFormat="1" ht="24.75" customHeight="1" x14ac:dyDescent="0.25"/>
    <row r="1755" s="79" customFormat="1" ht="24.75" customHeight="1" x14ac:dyDescent="0.25"/>
    <row r="1756" s="79" customFormat="1" ht="24.75" customHeight="1" x14ac:dyDescent="0.25"/>
    <row r="1757" s="79" customFormat="1" ht="24.75" customHeight="1" x14ac:dyDescent="0.25"/>
    <row r="1758" s="79" customFormat="1" ht="24.75" customHeight="1" x14ac:dyDescent="0.25"/>
    <row r="1759" s="79" customFormat="1" ht="24.75" customHeight="1" x14ac:dyDescent="0.25"/>
    <row r="1760" s="79" customFormat="1" ht="24.75" customHeight="1" x14ac:dyDescent="0.25"/>
    <row r="1761" s="79" customFormat="1" ht="24.75" customHeight="1" x14ac:dyDescent="0.25"/>
    <row r="1762" s="79" customFormat="1" ht="24.75" customHeight="1" x14ac:dyDescent="0.25"/>
    <row r="1763" s="79" customFormat="1" ht="24.75" customHeight="1" x14ac:dyDescent="0.25"/>
    <row r="1764" s="79" customFormat="1" ht="24.75" customHeight="1" x14ac:dyDescent="0.25"/>
    <row r="1765" s="79" customFormat="1" ht="24.75" customHeight="1" x14ac:dyDescent="0.25"/>
    <row r="1766" s="79" customFormat="1" ht="24.75" customHeight="1" x14ac:dyDescent="0.25"/>
    <row r="1767" s="79" customFormat="1" ht="24.75" customHeight="1" x14ac:dyDescent="0.25"/>
    <row r="1768" s="79" customFormat="1" ht="24.75" customHeight="1" x14ac:dyDescent="0.25"/>
    <row r="1769" s="79" customFormat="1" ht="24.75" customHeight="1" x14ac:dyDescent="0.25"/>
    <row r="1770" s="79" customFormat="1" ht="24.75" customHeight="1" x14ac:dyDescent="0.25"/>
    <row r="1771" s="79" customFormat="1" ht="24.75" customHeight="1" x14ac:dyDescent="0.25"/>
    <row r="1772" s="79" customFormat="1" ht="24.75" customHeight="1" x14ac:dyDescent="0.25"/>
    <row r="1773" s="79" customFormat="1" ht="24.75" customHeight="1" x14ac:dyDescent="0.25"/>
    <row r="1774" s="79" customFormat="1" ht="24.75" customHeight="1" x14ac:dyDescent="0.25"/>
    <row r="1775" s="79" customFormat="1" ht="24.75" customHeight="1" x14ac:dyDescent="0.25"/>
    <row r="1776" s="79" customFormat="1" ht="24.75" customHeight="1" x14ac:dyDescent="0.25"/>
    <row r="1777" s="79" customFormat="1" ht="24.75" customHeight="1" x14ac:dyDescent="0.25"/>
    <row r="1778" s="79" customFormat="1" ht="24.75" customHeight="1" x14ac:dyDescent="0.25"/>
    <row r="1779" s="79" customFormat="1" ht="24.75" customHeight="1" x14ac:dyDescent="0.25"/>
    <row r="1780" s="79" customFormat="1" ht="24.75" customHeight="1" x14ac:dyDescent="0.25"/>
    <row r="1781" s="79" customFormat="1" ht="24.75" customHeight="1" x14ac:dyDescent="0.25"/>
    <row r="1782" s="79" customFormat="1" ht="24.75" customHeight="1" x14ac:dyDescent="0.25"/>
    <row r="1783" s="79" customFormat="1" ht="24.75" customHeight="1" x14ac:dyDescent="0.25"/>
    <row r="1784" s="79" customFormat="1" ht="24.75" customHeight="1" x14ac:dyDescent="0.25"/>
    <row r="1785" s="79" customFormat="1" ht="24.75" customHeight="1" x14ac:dyDescent="0.25"/>
    <row r="1786" s="79" customFormat="1" ht="24.75" customHeight="1" x14ac:dyDescent="0.25"/>
    <row r="1787" s="79" customFormat="1" ht="24.75" customHeight="1" x14ac:dyDescent="0.25"/>
    <row r="1788" s="79" customFormat="1" ht="24.75" customHeight="1" x14ac:dyDescent="0.25"/>
    <row r="1789" s="79" customFormat="1" ht="24.75" customHeight="1" x14ac:dyDescent="0.25"/>
    <row r="1790" s="79" customFormat="1" ht="24.75" customHeight="1" x14ac:dyDescent="0.25"/>
    <row r="1791" s="79" customFormat="1" ht="24.75" customHeight="1" x14ac:dyDescent="0.25"/>
    <row r="1792" s="79" customFormat="1" ht="24.75" customHeight="1" x14ac:dyDescent="0.25"/>
    <row r="1793" s="79" customFormat="1" ht="24.75" customHeight="1" x14ac:dyDescent="0.25"/>
    <row r="1794" s="79" customFormat="1" ht="24.75" customHeight="1" x14ac:dyDescent="0.25"/>
    <row r="1795" s="79" customFormat="1" ht="24.75" customHeight="1" x14ac:dyDescent="0.25"/>
    <row r="1796" s="79" customFormat="1" ht="24.75" customHeight="1" x14ac:dyDescent="0.25"/>
    <row r="1797" s="79" customFormat="1" ht="24.75" customHeight="1" x14ac:dyDescent="0.25"/>
    <row r="1798" s="79" customFormat="1" ht="24.75" customHeight="1" x14ac:dyDescent="0.25"/>
    <row r="1799" s="79" customFormat="1" ht="24.75" customHeight="1" x14ac:dyDescent="0.25"/>
    <row r="1800" s="79" customFormat="1" ht="24.75" customHeight="1" x14ac:dyDescent="0.25"/>
    <row r="1801" s="79" customFormat="1" ht="24.75" customHeight="1" x14ac:dyDescent="0.25"/>
    <row r="1802" s="79" customFormat="1" ht="24.75" customHeight="1" x14ac:dyDescent="0.25"/>
    <row r="1803" s="79" customFormat="1" ht="24.75" customHeight="1" x14ac:dyDescent="0.25"/>
    <row r="1804" s="79" customFormat="1" ht="24.75" customHeight="1" x14ac:dyDescent="0.25"/>
    <row r="1805" s="79" customFormat="1" ht="24.75" customHeight="1" x14ac:dyDescent="0.25"/>
    <row r="1806" s="79" customFormat="1" ht="24.75" customHeight="1" x14ac:dyDescent="0.25"/>
    <row r="1807" s="79" customFormat="1" ht="24.75" customHeight="1" x14ac:dyDescent="0.25"/>
    <row r="1808" s="79" customFormat="1" ht="24.75" customHeight="1" x14ac:dyDescent="0.25"/>
    <row r="1809" s="79" customFormat="1" ht="24.75" customHeight="1" x14ac:dyDescent="0.25"/>
    <row r="1810" s="79" customFormat="1" ht="24.75" customHeight="1" x14ac:dyDescent="0.25"/>
    <row r="1811" s="79" customFormat="1" ht="24.75" customHeight="1" x14ac:dyDescent="0.25"/>
    <row r="1812" s="79" customFormat="1" ht="24.75" customHeight="1" x14ac:dyDescent="0.25"/>
    <row r="1813" s="79" customFormat="1" ht="24.75" customHeight="1" x14ac:dyDescent="0.25"/>
    <row r="1814" s="79" customFormat="1" ht="24.75" customHeight="1" x14ac:dyDescent="0.25"/>
    <row r="1815" s="79" customFormat="1" ht="24.75" customHeight="1" x14ac:dyDescent="0.25"/>
    <row r="1816" s="79" customFormat="1" ht="24.75" customHeight="1" x14ac:dyDescent="0.25"/>
    <row r="1817" s="79" customFormat="1" ht="24.75" customHeight="1" x14ac:dyDescent="0.25"/>
    <row r="1818" s="79" customFormat="1" ht="24.75" customHeight="1" x14ac:dyDescent="0.25"/>
    <row r="1819" s="79" customFormat="1" ht="24.75" customHeight="1" x14ac:dyDescent="0.25"/>
    <row r="1820" s="79" customFormat="1" ht="24.75" customHeight="1" x14ac:dyDescent="0.25"/>
    <row r="1821" s="79" customFormat="1" ht="24.75" customHeight="1" x14ac:dyDescent="0.25"/>
    <row r="1822" s="79" customFormat="1" ht="24.75" customHeight="1" x14ac:dyDescent="0.25"/>
    <row r="1823" s="79" customFormat="1" ht="24.75" customHeight="1" x14ac:dyDescent="0.25"/>
    <row r="1824" s="79" customFormat="1" ht="24.75" customHeight="1" x14ac:dyDescent="0.25"/>
    <row r="1825" s="79" customFormat="1" ht="24.75" customHeight="1" x14ac:dyDescent="0.25"/>
    <row r="1826" s="79" customFormat="1" ht="24.75" customHeight="1" x14ac:dyDescent="0.25"/>
    <row r="1827" s="79" customFormat="1" ht="24.75" customHeight="1" x14ac:dyDescent="0.25"/>
    <row r="1828" s="79" customFormat="1" ht="24.75" customHeight="1" x14ac:dyDescent="0.25"/>
    <row r="1829" s="79" customFormat="1" ht="24.75" customHeight="1" x14ac:dyDescent="0.25"/>
    <row r="1830" s="79" customFormat="1" ht="24.75" customHeight="1" x14ac:dyDescent="0.25"/>
    <row r="1831" s="79" customFormat="1" ht="24.75" customHeight="1" x14ac:dyDescent="0.25"/>
    <row r="1832" s="79" customFormat="1" ht="24.75" customHeight="1" x14ac:dyDescent="0.25"/>
    <row r="1833" s="79" customFormat="1" ht="24.75" customHeight="1" x14ac:dyDescent="0.25"/>
    <row r="1834" s="79" customFormat="1" ht="24.75" customHeight="1" x14ac:dyDescent="0.25"/>
    <row r="1835" s="79" customFormat="1" ht="24.75" customHeight="1" x14ac:dyDescent="0.25"/>
    <row r="1836" s="79" customFormat="1" ht="24.75" customHeight="1" x14ac:dyDescent="0.25"/>
    <row r="1837" s="79" customFormat="1" ht="24.75" customHeight="1" x14ac:dyDescent="0.25"/>
    <row r="1838" s="79" customFormat="1" ht="24.75" customHeight="1" x14ac:dyDescent="0.25"/>
    <row r="1839" s="79" customFormat="1" ht="24.75" customHeight="1" x14ac:dyDescent="0.25"/>
    <row r="1840" s="79" customFormat="1" ht="24.75" customHeight="1" x14ac:dyDescent="0.25"/>
    <row r="1841" s="79" customFormat="1" ht="24.75" customHeight="1" x14ac:dyDescent="0.25"/>
    <row r="1842" s="79" customFormat="1" ht="24.75" customHeight="1" x14ac:dyDescent="0.25"/>
    <row r="1843" s="79" customFormat="1" ht="24.75" customHeight="1" x14ac:dyDescent="0.25"/>
    <row r="1844" s="79" customFormat="1" ht="24.75" customHeight="1" x14ac:dyDescent="0.25"/>
    <row r="1845" s="79" customFormat="1" ht="24.75" customHeight="1" x14ac:dyDescent="0.25"/>
    <row r="1846" s="79" customFormat="1" ht="24.75" customHeight="1" x14ac:dyDescent="0.25"/>
    <row r="1847" s="79" customFormat="1" ht="24.75" customHeight="1" x14ac:dyDescent="0.25"/>
    <row r="1848" s="79" customFormat="1" ht="24.75" customHeight="1" x14ac:dyDescent="0.25"/>
    <row r="1849" s="79" customFormat="1" ht="24.75" customHeight="1" x14ac:dyDescent="0.25"/>
    <row r="1850" s="79" customFormat="1" ht="24.75" customHeight="1" x14ac:dyDescent="0.25"/>
    <row r="1851" s="79" customFormat="1" ht="24.75" customHeight="1" x14ac:dyDescent="0.25"/>
    <row r="1852" s="79" customFormat="1" ht="24.75" customHeight="1" x14ac:dyDescent="0.25"/>
    <row r="1853" s="79" customFormat="1" ht="24.75" customHeight="1" x14ac:dyDescent="0.25"/>
    <row r="1854" s="79" customFormat="1" ht="24.75" customHeight="1" x14ac:dyDescent="0.25"/>
    <row r="1855" s="79" customFormat="1" ht="24.75" customHeight="1" x14ac:dyDescent="0.25"/>
    <row r="1856" s="79" customFormat="1" ht="24.75" customHeight="1" x14ac:dyDescent="0.25"/>
    <row r="1857" s="79" customFormat="1" ht="24.75" customHeight="1" x14ac:dyDescent="0.25"/>
    <row r="1858" s="79" customFormat="1" ht="24.75" customHeight="1" x14ac:dyDescent="0.25"/>
    <row r="1859" s="79" customFormat="1" ht="24.75" customHeight="1" x14ac:dyDescent="0.25"/>
    <row r="1860" s="79" customFormat="1" ht="24.75" customHeight="1" x14ac:dyDescent="0.25"/>
    <row r="1861" s="79" customFormat="1" ht="24.75" customHeight="1" x14ac:dyDescent="0.25"/>
    <row r="1862" s="79" customFormat="1" ht="24.75" customHeight="1" x14ac:dyDescent="0.25"/>
    <row r="1863" s="79" customFormat="1" ht="24.75" customHeight="1" x14ac:dyDescent="0.25"/>
    <row r="1864" s="79" customFormat="1" ht="24.75" customHeight="1" x14ac:dyDescent="0.25"/>
    <row r="1865" s="79" customFormat="1" ht="24.75" customHeight="1" x14ac:dyDescent="0.25"/>
    <row r="1866" s="79" customFormat="1" ht="24.75" customHeight="1" x14ac:dyDescent="0.25"/>
    <row r="1867" s="79" customFormat="1" ht="24.75" customHeight="1" x14ac:dyDescent="0.25"/>
    <row r="1868" s="79" customFormat="1" ht="24.75" customHeight="1" x14ac:dyDescent="0.25"/>
    <row r="1869" s="79" customFormat="1" ht="24.75" customHeight="1" x14ac:dyDescent="0.25"/>
    <row r="1870" s="79" customFormat="1" ht="24.75" customHeight="1" x14ac:dyDescent="0.25"/>
    <row r="1871" s="79" customFormat="1" ht="24.75" customHeight="1" x14ac:dyDescent="0.25"/>
    <row r="1872" s="79" customFormat="1" ht="24.75" customHeight="1" x14ac:dyDescent="0.25"/>
    <row r="1873" s="79" customFormat="1" ht="24.75" customHeight="1" x14ac:dyDescent="0.25"/>
    <row r="1874" s="79" customFormat="1" ht="24.75" customHeight="1" x14ac:dyDescent="0.25"/>
    <row r="1875" s="79" customFormat="1" ht="24.75" customHeight="1" x14ac:dyDescent="0.25"/>
    <row r="1876" s="79" customFormat="1" ht="24.75" customHeight="1" x14ac:dyDescent="0.25"/>
    <row r="1877" s="79" customFormat="1" ht="24.75" customHeight="1" x14ac:dyDescent="0.25"/>
    <row r="1878" s="79" customFormat="1" ht="24.75" customHeight="1" x14ac:dyDescent="0.25"/>
    <row r="1879" s="79" customFormat="1" ht="24.75" customHeight="1" x14ac:dyDescent="0.25"/>
    <row r="1880" s="79" customFormat="1" ht="24.75" customHeight="1" x14ac:dyDescent="0.25"/>
    <row r="1881" s="79" customFormat="1" ht="24.75" customHeight="1" x14ac:dyDescent="0.25"/>
    <row r="1882" s="79" customFormat="1" ht="24.75" customHeight="1" x14ac:dyDescent="0.25"/>
    <row r="1883" s="79" customFormat="1" ht="24.75" customHeight="1" x14ac:dyDescent="0.25"/>
    <row r="1884" s="79" customFormat="1" ht="24.75" customHeight="1" x14ac:dyDescent="0.25"/>
    <row r="1885" s="79" customFormat="1" ht="24.75" customHeight="1" x14ac:dyDescent="0.25"/>
    <row r="1886" s="79" customFormat="1" ht="24.75" customHeight="1" x14ac:dyDescent="0.25"/>
    <row r="1887" s="79" customFormat="1" ht="24.75" customHeight="1" x14ac:dyDescent="0.25"/>
    <row r="1888" s="79" customFormat="1" ht="24.75" customHeight="1" x14ac:dyDescent="0.25"/>
    <row r="1889" s="79" customFormat="1" ht="24.75" customHeight="1" x14ac:dyDescent="0.25"/>
    <row r="1890" s="79" customFormat="1" ht="24.75" customHeight="1" x14ac:dyDescent="0.25"/>
    <row r="1891" s="79" customFormat="1" ht="24.75" customHeight="1" x14ac:dyDescent="0.25"/>
    <row r="1892" s="79" customFormat="1" ht="24.75" customHeight="1" x14ac:dyDescent="0.25"/>
    <row r="1893" s="79" customFormat="1" ht="24.75" customHeight="1" x14ac:dyDescent="0.25"/>
    <row r="1894" s="79" customFormat="1" ht="24.75" customHeight="1" x14ac:dyDescent="0.25"/>
    <row r="1895" s="79" customFormat="1" ht="24.75" customHeight="1" x14ac:dyDescent="0.25"/>
    <row r="1896" s="79" customFormat="1" ht="24.75" customHeight="1" x14ac:dyDescent="0.25"/>
    <row r="1897" s="79" customFormat="1" ht="24.75" customHeight="1" x14ac:dyDescent="0.25"/>
    <row r="1898" s="79" customFormat="1" ht="24.75" customHeight="1" x14ac:dyDescent="0.25"/>
    <row r="1899" s="79" customFormat="1" ht="24.75" customHeight="1" x14ac:dyDescent="0.25"/>
    <row r="1900" s="79" customFormat="1" ht="24.75" customHeight="1" x14ac:dyDescent="0.25"/>
    <row r="1901" s="79" customFormat="1" ht="24.75" customHeight="1" x14ac:dyDescent="0.25"/>
    <row r="1902" s="79" customFormat="1" ht="24.75" customHeight="1" x14ac:dyDescent="0.25"/>
    <row r="1903" s="79" customFormat="1" ht="24.75" customHeight="1" x14ac:dyDescent="0.25"/>
    <row r="1904" s="79" customFormat="1" ht="24.75" customHeight="1" x14ac:dyDescent="0.25"/>
    <row r="1905" s="79" customFormat="1" ht="24.75" customHeight="1" x14ac:dyDescent="0.25"/>
    <row r="1906" s="79" customFormat="1" ht="24.75" customHeight="1" x14ac:dyDescent="0.25"/>
    <row r="1907" s="79" customFormat="1" ht="24.75" customHeight="1" x14ac:dyDescent="0.25"/>
    <row r="1908" s="79" customFormat="1" ht="24.75" customHeight="1" x14ac:dyDescent="0.25"/>
    <row r="1909" s="79" customFormat="1" ht="24.75" customHeight="1" x14ac:dyDescent="0.25"/>
    <row r="1910" s="79" customFormat="1" ht="24.75" customHeight="1" x14ac:dyDescent="0.25"/>
    <row r="1911" s="79" customFormat="1" ht="24.75" customHeight="1" x14ac:dyDescent="0.25"/>
    <row r="1912" s="79" customFormat="1" ht="24.75" customHeight="1" x14ac:dyDescent="0.25"/>
    <row r="1913" s="79" customFormat="1" ht="24.75" customHeight="1" x14ac:dyDescent="0.25"/>
    <row r="1914" s="79" customFormat="1" ht="24.75" customHeight="1" x14ac:dyDescent="0.25"/>
    <row r="1915" s="79" customFormat="1" ht="24.75" customHeight="1" x14ac:dyDescent="0.25"/>
    <row r="1916" s="79" customFormat="1" ht="24.75" customHeight="1" x14ac:dyDescent="0.25"/>
    <row r="1917" s="79" customFormat="1" ht="24.75" customHeight="1" x14ac:dyDescent="0.25"/>
    <row r="1918" s="79" customFormat="1" ht="24.75" customHeight="1" x14ac:dyDescent="0.25"/>
    <row r="1919" s="79" customFormat="1" ht="24.75" customHeight="1" x14ac:dyDescent="0.25"/>
    <row r="1920" s="79" customFormat="1" ht="24.75" customHeight="1" x14ac:dyDescent="0.25"/>
    <row r="1921" s="79" customFormat="1" ht="24.75" customHeight="1" x14ac:dyDescent="0.25"/>
    <row r="1922" s="79" customFormat="1" ht="24.75" customHeight="1" x14ac:dyDescent="0.25"/>
    <row r="1923" s="79" customFormat="1" ht="24.75" customHeight="1" x14ac:dyDescent="0.25"/>
    <row r="1924" s="79" customFormat="1" ht="24.75" customHeight="1" x14ac:dyDescent="0.25"/>
    <row r="1925" s="79" customFormat="1" ht="24.75" customHeight="1" x14ac:dyDescent="0.25"/>
    <row r="1926" s="79" customFormat="1" ht="24.75" customHeight="1" x14ac:dyDescent="0.25"/>
    <row r="1927" s="79" customFormat="1" ht="24.75" customHeight="1" x14ac:dyDescent="0.25"/>
    <row r="1928" s="79" customFormat="1" ht="24.75" customHeight="1" x14ac:dyDescent="0.25"/>
    <row r="1929" s="79" customFormat="1" ht="24.75" customHeight="1" x14ac:dyDescent="0.25"/>
    <row r="1930" s="79" customFormat="1" ht="24.75" customHeight="1" x14ac:dyDescent="0.25"/>
    <row r="1931" s="79" customFormat="1" ht="24.75" customHeight="1" x14ac:dyDescent="0.25"/>
    <row r="1932" s="79" customFormat="1" ht="24.75" customHeight="1" x14ac:dyDescent="0.25"/>
    <row r="1933" s="79" customFormat="1" ht="24.75" customHeight="1" x14ac:dyDescent="0.25"/>
    <row r="1934" s="79" customFormat="1" ht="24.75" customHeight="1" x14ac:dyDescent="0.25"/>
    <row r="1935" s="79" customFormat="1" ht="24.75" customHeight="1" x14ac:dyDescent="0.25"/>
    <row r="1936" s="79" customFormat="1" ht="24.75" customHeight="1" x14ac:dyDescent="0.25"/>
    <row r="1937" s="79" customFormat="1" ht="24.75" customHeight="1" x14ac:dyDescent="0.25"/>
    <row r="1938" s="79" customFormat="1" ht="24.75" customHeight="1" x14ac:dyDescent="0.25"/>
    <row r="1939" s="79" customFormat="1" ht="24.75" customHeight="1" x14ac:dyDescent="0.25"/>
    <row r="1940" s="79" customFormat="1" ht="24.75" customHeight="1" x14ac:dyDescent="0.25"/>
    <row r="1941" s="79" customFormat="1" ht="24.75" customHeight="1" x14ac:dyDescent="0.25"/>
    <row r="1942" s="79" customFormat="1" ht="24.75" customHeight="1" x14ac:dyDescent="0.25"/>
    <row r="1943" s="79" customFormat="1" ht="24.75" customHeight="1" x14ac:dyDescent="0.25"/>
    <row r="1944" s="79" customFormat="1" ht="24.75" customHeight="1" x14ac:dyDescent="0.25"/>
    <row r="1945" s="79" customFormat="1" ht="24.75" customHeight="1" x14ac:dyDescent="0.25"/>
    <row r="1946" s="79" customFormat="1" ht="24.75" customHeight="1" x14ac:dyDescent="0.25"/>
    <row r="1947" s="79" customFormat="1" ht="24.75" customHeight="1" x14ac:dyDescent="0.25"/>
    <row r="1948" s="79" customFormat="1" ht="24.75" customHeight="1" x14ac:dyDescent="0.25"/>
    <row r="1949" s="79" customFormat="1" ht="24.75" customHeight="1" x14ac:dyDescent="0.25"/>
    <row r="1950" s="79" customFormat="1" ht="24.75" customHeight="1" x14ac:dyDescent="0.25"/>
    <row r="1951" s="79" customFormat="1" ht="24.75" customHeight="1" x14ac:dyDescent="0.25"/>
    <row r="1952" s="79" customFormat="1" ht="24.75" customHeight="1" x14ac:dyDescent="0.25"/>
    <row r="1953" s="79" customFormat="1" ht="24.75" customHeight="1" x14ac:dyDescent="0.25"/>
    <row r="1954" s="79" customFormat="1" ht="24.75" customHeight="1" x14ac:dyDescent="0.25"/>
    <row r="1955" s="79" customFormat="1" ht="24.75" customHeight="1" x14ac:dyDescent="0.25"/>
    <row r="1956" s="79" customFormat="1" ht="24.75" customHeight="1" x14ac:dyDescent="0.25"/>
    <row r="1957" s="79" customFormat="1" ht="24.75" customHeight="1" x14ac:dyDescent="0.25"/>
    <row r="1958" s="79" customFormat="1" ht="24.75" customHeight="1" x14ac:dyDescent="0.25"/>
    <row r="1959" s="79" customFormat="1" ht="24.75" customHeight="1" x14ac:dyDescent="0.25"/>
    <row r="1960" s="79" customFormat="1" ht="24.75" customHeight="1" x14ac:dyDescent="0.25"/>
    <row r="1961" s="79" customFormat="1" ht="24.75" customHeight="1" x14ac:dyDescent="0.25"/>
    <row r="1962" s="79" customFormat="1" ht="24.75" customHeight="1" x14ac:dyDescent="0.25"/>
    <row r="1963" s="79" customFormat="1" ht="24.75" customHeight="1" x14ac:dyDescent="0.25"/>
    <row r="1964" s="79" customFormat="1" ht="24.75" customHeight="1" x14ac:dyDescent="0.25"/>
    <row r="1965" s="79" customFormat="1" ht="24.75" customHeight="1" x14ac:dyDescent="0.25"/>
    <row r="1966" s="79" customFormat="1" ht="24.75" customHeight="1" x14ac:dyDescent="0.25"/>
    <row r="1967" s="79" customFormat="1" ht="24.75" customHeight="1" x14ac:dyDescent="0.25"/>
    <row r="1968" s="79" customFormat="1" ht="24.75" customHeight="1" x14ac:dyDescent="0.25"/>
    <row r="1969" s="79" customFormat="1" ht="24.75" customHeight="1" x14ac:dyDescent="0.25"/>
    <row r="1970" s="79" customFormat="1" ht="24.75" customHeight="1" x14ac:dyDescent="0.25"/>
    <row r="1971" s="79" customFormat="1" ht="24.75" customHeight="1" x14ac:dyDescent="0.25"/>
    <row r="1972" s="79" customFormat="1" ht="24.75" customHeight="1" x14ac:dyDescent="0.25"/>
    <row r="1973" s="79" customFormat="1" ht="24.75" customHeight="1" x14ac:dyDescent="0.25"/>
    <row r="1974" s="79" customFormat="1" ht="24.75" customHeight="1" x14ac:dyDescent="0.25"/>
    <row r="1975" s="79" customFormat="1" ht="24.75" customHeight="1" x14ac:dyDescent="0.25"/>
    <row r="1976" s="79" customFormat="1" ht="24.75" customHeight="1" x14ac:dyDescent="0.25"/>
    <row r="1977" s="79" customFormat="1" ht="24.75" customHeight="1" x14ac:dyDescent="0.25"/>
    <row r="1978" s="79" customFormat="1" ht="24.75" customHeight="1" x14ac:dyDescent="0.25"/>
    <row r="1979" s="79" customFormat="1" ht="24.75" customHeight="1" x14ac:dyDescent="0.25"/>
    <row r="1980" s="79" customFormat="1" ht="24.75" customHeight="1" x14ac:dyDescent="0.25"/>
    <row r="1981" s="79" customFormat="1" ht="24.75" customHeight="1" x14ac:dyDescent="0.25"/>
    <row r="1982" s="79" customFormat="1" ht="24.75" customHeight="1" x14ac:dyDescent="0.25"/>
    <row r="1983" s="79" customFormat="1" ht="24.75" customHeight="1" x14ac:dyDescent="0.25"/>
    <row r="1984" s="79" customFormat="1" ht="24.75" customHeight="1" x14ac:dyDescent="0.25"/>
    <row r="1985" s="79" customFormat="1" ht="24.75" customHeight="1" x14ac:dyDescent="0.25"/>
    <row r="1986" s="79" customFormat="1" ht="24.75" customHeight="1" x14ac:dyDescent="0.25"/>
    <row r="1987" s="79" customFormat="1" ht="24.75" customHeight="1" x14ac:dyDescent="0.25"/>
    <row r="1988" s="79" customFormat="1" ht="24.75" customHeight="1" x14ac:dyDescent="0.25"/>
    <row r="1989" s="79" customFormat="1" ht="24.75" customHeight="1" x14ac:dyDescent="0.25"/>
    <row r="1990" s="79" customFormat="1" ht="24.75" customHeight="1" x14ac:dyDescent="0.25"/>
    <row r="1991" s="79" customFormat="1" ht="24.75" customHeight="1" x14ac:dyDescent="0.25"/>
    <row r="1992" s="79" customFormat="1" ht="24.75" customHeight="1" x14ac:dyDescent="0.25"/>
    <row r="1993" s="79" customFormat="1" ht="24.75" customHeight="1" x14ac:dyDescent="0.25"/>
    <row r="1994" s="79" customFormat="1" ht="24.75" customHeight="1" x14ac:dyDescent="0.25"/>
    <row r="1995" s="79" customFormat="1" ht="24.75" customHeight="1" x14ac:dyDescent="0.25"/>
    <row r="1996" s="79" customFormat="1" ht="24.75" customHeight="1" x14ac:dyDescent="0.25"/>
    <row r="1997" s="79" customFormat="1" ht="24.75" customHeight="1" x14ac:dyDescent="0.25"/>
    <row r="1998" s="79" customFormat="1" ht="24.75" customHeight="1" x14ac:dyDescent="0.25"/>
    <row r="1999" s="79" customFormat="1" ht="24.75" customHeight="1" x14ac:dyDescent="0.25"/>
    <row r="2000" s="79" customFormat="1" ht="24.75" customHeight="1" x14ac:dyDescent="0.25"/>
    <row r="2001" s="79" customFormat="1" ht="24.75" customHeight="1" x14ac:dyDescent="0.25"/>
    <row r="2002" s="79" customFormat="1" ht="24.75" customHeight="1" x14ac:dyDescent="0.25"/>
    <row r="2003" s="79" customFormat="1" ht="24.75" customHeight="1" x14ac:dyDescent="0.25"/>
    <row r="2004" s="79" customFormat="1" ht="24.75" customHeight="1" x14ac:dyDescent="0.25"/>
    <row r="2005" s="79" customFormat="1" ht="24.75" customHeight="1" x14ac:dyDescent="0.25"/>
    <row r="2006" s="79" customFormat="1" ht="24.75" customHeight="1" x14ac:dyDescent="0.25"/>
    <row r="2007" s="79" customFormat="1" ht="24.75" customHeight="1" x14ac:dyDescent="0.25"/>
    <row r="2008" s="79" customFormat="1" ht="24.75" customHeight="1" x14ac:dyDescent="0.25"/>
    <row r="2009" s="79" customFormat="1" ht="24.75" customHeight="1" x14ac:dyDescent="0.25"/>
    <row r="2010" s="79" customFormat="1" ht="24.75" customHeight="1" x14ac:dyDescent="0.25"/>
    <row r="2011" s="79" customFormat="1" ht="24.75" customHeight="1" x14ac:dyDescent="0.25"/>
    <row r="2012" s="79" customFormat="1" ht="24.75" customHeight="1" x14ac:dyDescent="0.25"/>
    <row r="2013" s="79" customFormat="1" ht="24.75" customHeight="1" x14ac:dyDescent="0.25"/>
    <row r="2014" s="79" customFormat="1" ht="24.75" customHeight="1" x14ac:dyDescent="0.25"/>
    <row r="2015" s="79" customFormat="1" ht="24.75" customHeight="1" x14ac:dyDescent="0.25"/>
    <row r="2016" s="79" customFormat="1" ht="24.75" customHeight="1" x14ac:dyDescent="0.25"/>
    <row r="2017" s="79" customFormat="1" ht="24.75" customHeight="1" x14ac:dyDescent="0.25"/>
    <row r="2018" s="79" customFormat="1" ht="24.75" customHeight="1" x14ac:dyDescent="0.25"/>
    <row r="2019" s="79" customFormat="1" ht="24.75" customHeight="1" x14ac:dyDescent="0.25"/>
    <row r="2020" s="79" customFormat="1" ht="24.75" customHeight="1" x14ac:dyDescent="0.25"/>
    <row r="2021" s="79" customFormat="1" ht="24.75" customHeight="1" x14ac:dyDescent="0.25"/>
    <row r="2022" s="79" customFormat="1" ht="24.75" customHeight="1" x14ac:dyDescent="0.25"/>
    <row r="2023" s="79" customFormat="1" ht="24.75" customHeight="1" x14ac:dyDescent="0.25"/>
    <row r="2024" s="79" customFormat="1" ht="24.75" customHeight="1" x14ac:dyDescent="0.25"/>
    <row r="2025" s="79" customFormat="1" ht="24.75" customHeight="1" x14ac:dyDescent="0.25"/>
    <row r="2026" s="79" customFormat="1" ht="24.75" customHeight="1" x14ac:dyDescent="0.25"/>
    <row r="2027" s="79" customFormat="1" ht="24.75" customHeight="1" x14ac:dyDescent="0.25"/>
    <row r="2028" s="79" customFormat="1" ht="24.75" customHeight="1" x14ac:dyDescent="0.25"/>
    <row r="2029" s="79" customFormat="1" ht="24.75" customHeight="1" x14ac:dyDescent="0.25"/>
    <row r="2030" s="79" customFormat="1" ht="24.75" customHeight="1" x14ac:dyDescent="0.25"/>
    <row r="2031" s="79" customFormat="1" ht="24.75" customHeight="1" x14ac:dyDescent="0.25"/>
    <row r="2032" s="79" customFormat="1" ht="24.75" customHeight="1" x14ac:dyDescent="0.25"/>
    <row r="2033" s="79" customFormat="1" ht="24.75" customHeight="1" x14ac:dyDescent="0.25"/>
    <row r="2034" s="79" customFormat="1" ht="24.75" customHeight="1" x14ac:dyDescent="0.25"/>
    <row r="2035" s="79" customFormat="1" ht="24.75" customHeight="1" x14ac:dyDescent="0.25"/>
    <row r="2036" s="79" customFormat="1" ht="24.75" customHeight="1" x14ac:dyDescent="0.25"/>
    <row r="2037" s="79" customFormat="1" ht="24.75" customHeight="1" x14ac:dyDescent="0.25"/>
    <row r="2038" s="79" customFormat="1" ht="24.75" customHeight="1" x14ac:dyDescent="0.25"/>
    <row r="2039" s="79" customFormat="1" ht="24.75" customHeight="1" x14ac:dyDescent="0.25"/>
    <row r="2040" s="79" customFormat="1" ht="24.75" customHeight="1" x14ac:dyDescent="0.25"/>
    <row r="2041" s="79" customFormat="1" ht="24.75" customHeight="1" x14ac:dyDescent="0.25"/>
    <row r="2042" s="79" customFormat="1" ht="24.75" customHeight="1" x14ac:dyDescent="0.25"/>
    <row r="2043" s="79" customFormat="1" ht="24.75" customHeight="1" x14ac:dyDescent="0.25"/>
    <row r="2044" s="79" customFormat="1" ht="24.75" customHeight="1" x14ac:dyDescent="0.25"/>
    <row r="2045" s="79" customFormat="1" ht="24.75" customHeight="1" x14ac:dyDescent="0.25"/>
    <row r="2046" s="79" customFormat="1" ht="24.75" customHeight="1" x14ac:dyDescent="0.25"/>
    <row r="2047" s="79" customFormat="1" ht="24.75" customHeight="1" x14ac:dyDescent="0.25"/>
    <row r="2048" s="79" customFormat="1" ht="24.75" customHeight="1" x14ac:dyDescent="0.25"/>
    <row r="2049" s="79" customFormat="1" ht="24.75" customHeight="1" x14ac:dyDescent="0.25"/>
    <row r="2050" s="79" customFormat="1" ht="24.75" customHeight="1" x14ac:dyDescent="0.25"/>
    <row r="2051" s="79" customFormat="1" ht="24.75" customHeight="1" x14ac:dyDescent="0.25"/>
    <row r="2052" s="79" customFormat="1" ht="24.75" customHeight="1" x14ac:dyDescent="0.25"/>
    <row r="2053" s="79" customFormat="1" ht="24.75" customHeight="1" x14ac:dyDescent="0.25"/>
    <row r="2054" s="79" customFormat="1" ht="24.75" customHeight="1" x14ac:dyDescent="0.25"/>
    <row r="2055" s="79" customFormat="1" ht="24.75" customHeight="1" x14ac:dyDescent="0.25"/>
    <row r="2056" s="79" customFormat="1" ht="24.75" customHeight="1" x14ac:dyDescent="0.25"/>
    <row r="2057" s="79" customFormat="1" ht="24.75" customHeight="1" x14ac:dyDescent="0.25"/>
    <row r="2058" s="79" customFormat="1" ht="24.75" customHeight="1" x14ac:dyDescent="0.25"/>
    <row r="2059" s="79" customFormat="1" ht="24.75" customHeight="1" x14ac:dyDescent="0.25"/>
    <row r="2060" s="79" customFormat="1" ht="24.75" customHeight="1" x14ac:dyDescent="0.25"/>
    <row r="2061" s="79" customFormat="1" ht="24.75" customHeight="1" x14ac:dyDescent="0.25"/>
    <row r="2062" s="79" customFormat="1" ht="24.75" customHeight="1" x14ac:dyDescent="0.25"/>
    <row r="2063" s="79" customFormat="1" ht="24.75" customHeight="1" x14ac:dyDescent="0.25"/>
    <row r="2064" s="79" customFormat="1" ht="24.75" customHeight="1" x14ac:dyDescent="0.25"/>
    <row r="2065" s="79" customFormat="1" ht="24.75" customHeight="1" x14ac:dyDescent="0.25"/>
    <row r="2066" s="79" customFormat="1" ht="24.75" customHeight="1" x14ac:dyDescent="0.25"/>
    <row r="2067" s="79" customFormat="1" ht="24.75" customHeight="1" x14ac:dyDescent="0.25"/>
    <row r="2068" s="79" customFormat="1" ht="24.75" customHeight="1" x14ac:dyDescent="0.25"/>
    <row r="2069" s="79" customFormat="1" ht="24.75" customHeight="1" x14ac:dyDescent="0.25"/>
    <row r="2070" s="79" customFormat="1" ht="24.75" customHeight="1" x14ac:dyDescent="0.25"/>
    <row r="2071" s="79" customFormat="1" ht="24.75" customHeight="1" x14ac:dyDescent="0.25"/>
    <row r="2072" s="79" customFormat="1" ht="24.75" customHeight="1" x14ac:dyDescent="0.25"/>
    <row r="2073" s="79" customFormat="1" ht="24.75" customHeight="1" x14ac:dyDescent="0.25"/>
    <row r="2074" s="79" customFormat="1" ht="24.75" customHeight="1" x14ac:dyDescent="0.25"/>
    <row r="2075" s="79" customFormat="1" ht="24.75" customHeight="1" x14ac:dyDescent="0.25"/>
    <row r="2076" s="79" customFormat="1" ht="24.75" customHeight="1" x14ac:dyDescent="0.25"/>
    <row r="2077" s="79" customFormat="1" ht="24.75" customHeight="1" x14ac:dyDescent="0.25"/>
    <row r="2078" s="79" customFormat="1" ht="24.75" customHeight="1" x14ac:dyDescent="0.25"/>
    <row r="2079" s="79" customFormat="1" ht="24.75" customHeight="1" x14ac:dyDescent="0.25"/>
    <row r="2080" s="79" customFormat="1" ht="24.75" customHeight="1" x14ac:dyDescent="0.25"/>
    <row r="2081" s="79" customFormat="1" ht="24.75" customHeight="1" x14ac:dyDescent="0.25"/>
    <row r="2082" s="79" customFormat="1" ht="24.75" customHeight="1" x14ac:dyDescent="0.25"/>
    <row r="2083" s="79" customFormat="1" ht="24.75" customHeight="1" x14ac:dyDescent="0.25"/>
    <row r="2084" s="79" customFormat="1" ht="24.75" customHeight="1" x14ac:dyDescent="0.25"/>
    <row r="2085" s="79" customFormat="1" ht="24.75" customHeight="1" x14ac:dyDescent="0.25"/>
    <row r="2086" s="79" customFormat="1" ht="24.75" customHeight="1" x14ac:dyDescent="0.25"/>
    <row r="2087" s="79" customFormat="1" ht="24.75" customHeight="1" x14ac:dyDescent="0.25"/>
    <row r="2088" s="79" customFormat="1" ht="24.75" customHeight="1" x14ac:dyDescent="0.25"/>
    <row r="2089" s="79" customFormat="1" ht="24.75" customHeight="1" x14ac:dyDescent="0.25"/>
    <row r="2090" s="79" customFormat="1" ht="24.75" customHeight="1" x14ac:dyDescent="0.25"/>
    <row r="2091" s="79" customFormat="1" ht="24.75" customHeight="1" x14ac:dyDescent="0.25"/>
    <row r="2092" s="79" customFormat="1" ht="24.75" customHeight="1" x14ac:dyDescent="0.25"/>
    <row r="2093" s="79" customFormat="1" ht="24.75" customHeight="1" x14ac:dyDescent="0.25"/>
    <row r="2094" s="79" customFormat="1" ht="24.75" customHeight="1" x14ac:dyDescent="0.25"/>
    <row r="2095" s="79" customFormat="1" ht="24.75" customHeight="1" x14ac:dyDescent="0.25"/>
    <row r="2096" s="79" customFormat="1" ht="24.75" customHeight="1" x14ac:dyDescent="0.25"/>
    <row r="2097" s="79" customFormat="1" ht="24.75" customHeight="1" x14ac:dyDescent="0.25"/>
    <row r="2098" s="79" customFormat="1" ht="24.75" customHeight="1" x14ac:dyDescent="0.25"/>
    <row r="2099" s="79" customFormat="1" ht="24.75" customHeight="1" x14ac:dyDescent="0.25"/>
    <row r="2100" s="79" customFormat="1" ht="24.75" customHeight="1" x14ac:dyDescent="0.25"/>
    <row r="2101" s="79" customFormat="1" ht="24.75" customHeight="1" x14ac:dyDescent="0.25"/>
    <row r="2102" s="79" customFormat="1" ht="24.75" customHeight="1" x14ac:dyDescent="0.25"/>
    <row r="2103" s="79" customFormat="1" ht="24.75" customHeight="1" x14ac:dyDescent="0.25"/>
    <row r="2104" s="79" customFormat="1" ht="24.75" customHeight="1" x14ac:dyDescent="0.25"/>
    <row r="2105" s="79" customFormat="1" ht="24.75" customHeight="1" x14ac:dyDescent="0.25"/>
    <row r="2106" s="79" customFormat="1" ht="24.75" customHeight="1" x14ac:dyDescent="0.25"/>
    <row r="2107" s="79" customFormat="1" ht="24.75" customHeight="1" x14ac:dyDescent="0.25"/>
    <row r="2108" s="79" customFormat="1" ht="24.75" customHeight="1" x14ac:dyDescent="0.25"/>
    <row r="2109" s="79" customFormat="1" ht="24.75" customHeight="1" x14ac:dyDescent="0.25"/>
    <row r="2110" s="79" customFormat="1" ht="24.75" customHeight="1" x14ac:dyDescent="0.25"/>
    <row r="2111" s="79" customFormat="1" ht="24.75" customHeight="1" x14ac:dyDescent="0.25"/>
    <row r="2112" s="79" customFormat="1" ht="24.75" customHeight="1" x14ac:dyDescent="0.25"/>
    <row r="2113" s="79" customFormat="1" ht="24.75" customHeight="1" x14ac:dyDescent="0.25"/>
    <row r="2114" s="79" customFormat="1" ht="24.75" customHeight="1" x14ac:dyDescent="0.25"/>
    <row r="2115" s="79" customFormat="1" ht="24.75" customHeight="1" x14ac:dyDescent="0.25"/>
    <row r="2116" s="79" customFormat="1" ht="24.75" customHeight="1" x14ac:dyDescent="0.25"/>
    <row r="2117" s="79" customFormat="1" ht="24.75" customHeight="1" x14ac:dyDescent="0.25"/>
    <row r="2118" s="79" customFormat="1" ht="24.75" customHeight="1" x14ac:dyDescent="0.25"/>
    <row r="2119" s="79" customFormat="1" ht="24.75" customHeight="1" x14ac:dyDescent="0.25"/>
    <row r="2120" s="79" customFormat="1" ht="24.75" customHeight="1" x14ac:dyDescent="0.25"/>
    <row r="2121" s="79" customFormat="1" ht="24.75" customHeight="1" x14ac:dyDescent="0.25"/>
    <row r="2122" s="79" customFormat="1" ht="24.75" customHeight="1" x14ac:dyDescent="0.25"/>
    <row r="2123" s="79" customFormat="1" ht="24.75" customHeight="1" x14ac:dyDescent="0.25"/>
    <row r="2124" s="79" customFormat="1" ht="24.75" customHeight="1" x14ac:dyDescent="0.25"/>
    <row r="2125" s="79" customFormat="1" ht="24.75" customHeight="1" x14ac:dyDescent="0.25"/>
    <row r="2126" s="79" customFormat="1" ht="24.75" customHeight="1" x14ac:dyDescent="0.25"/>
    <row r="2127" s="79" customFormat="1" ht="24.75" customHeight="1" x14ac:dyDescent="0.25"/>
    <row r="2128" s="79" customFormat="1" ht="24.75" customHeight="1" x14ac:dyDescent="0.25"/>
    <row r="2129" s="79" customFormat="1" ht="24.75" customHeight="1" x14ac:dyDescent="0.25"/>
    <row r="2130" s="79" customFormat="1" ht="24.75" customHeight="1" x14ac:dyDescent="0.25"/>
    <row r="2131" s="79" customFormat="1" ht="24.75" customHeight="1" x14ac:dyDescent="0.25"/>
    <row r="2132" s="79" customFormat="1" ht="24.75" customHeight="1" x14ac:dyDescent="0.25"/>
    <row r="2133" s="79" customFormat="1" ht="24.75" customHeight="1" x14ac:dyDescent="0.25"/>
    <row r="2134" s="79" customFormat="1" ht="24.75" customHeight="1" x14ac:dyDescent="0.25"/>
    <row r="2135" s="79" customFormat="1" ht="24.75" customHeight="1" x14ac:dyDescent="0.25"/>
    <row r="2136" s="79" customFormat="1" ht="24.75" customHeight="1" x14ac:dyDescent="0.25"/>
    <row r="2137" s="79" customFormat="1" ht="24.75" customHeight="1" x14ac:dyDescent="0.25"/>
    <row r="2138" s="79" customFormat="1" ht="24.75" customHeight="1" x14ac:dyDescent="0.25"/>
    <row r="2139" s="79" customFormat="1" ht="24.75" customHeight="1" x14ac:dyDescent="0.25"/>
    <row r="2140" s="79" customFormat="1" ht="24.75" customHeight="1" x14ac:dyDescent="0.25"/>
    <row r="2141" s="79" customFormat="1" ht="24.75" customHeight="1" x14ac:dyDescent="0.25"/>
    <row r="2142" s="79" customFormat="1" ht="24.75" customHeight="1" x14ac:dyDescent="0.25"/>
    <row r="2143" s="79" customFormat="1" ht="24.75" customHeight="1" x14ac:dyDescent="0.25"/>
    <row r="2144" s="79" customFormat="1" ht="24.75" customHeight="1" x14ac:dyDescent="0.25"/>
    <row r="2145" s="79" customFormat="1" ht="24.75" customHeight="1" x14ac:dyDescent="0.25"/>
    <row r="2146" s="79" customFormat="1" ht="24.75" customHeight="1" x14ac:dyDescent="0.25"/>
    <row r="2147" s="79" customFormat="1" ht="24.75" customHeight="1" x14ac:dyDescent="0.25"/>
    <row r="2148" s="79" customFormat="1" ht="24.75" customHeight="1" x14ac:dyDescent="0.25"/>
    <row r="2149" s="79" customFormat="1" ht="24.75" customHeight="1" x14ac:dyDescent="0.25"/>
    <row r="2150" s="79" customFormat="1" ht="24.75" customHeight="1" x14ac:dyDescent="0.25"/>
    <row r="2151" s="79" customFormat="1" ht="24.75" customHeight="1" x14ac:dyDescent="0.25"/>
    <row r="2152" s="79" customFormat="1" ht="24.75" customHeight="1" x14ac:dyDescent="0.25"/>
    <row r="2153" s="79" customFormat="1" ht="24.75" customHeight="1" x14ac:dyDescent="0.25"/>
    <row r="2154" s="79" customFormat="1" ht="24.75" customHeight="1" x14ac:dyDescent="0.25"/>
    <row r="2155" s="79" customFormat="1" ht="24.75" customHeight="1" x14ac:dyDescent="0.25"/>
    <row r="2156" s="79" customFormat="1" ht="24.75" customHeight="1" x14ac:dyDescent="0.25"/>
    <row r="2157" s="79" customFormat="1" ht="24.75" customHeight="1" x14ac:dyDescent="0.25"/>
    <row r="2158" s="79" customFormat="1" ht="24.75" customHeight="1" x14ac:dyDescent="0.25"/>
    <row r="2159" s="79" customFormat="1" ht="24.75" customHeight="1" x14ac:dyDescent="0.25"/>
    <row r="2160" s="79" customFormat="1" ht="24.75" customHeight="1" x14ac:dyDescent="0.25"/>
    <row r="2161" s="79" customFormat="1" ht="24.75" customHeight="1" x14ac:dyDescent="0.25"/>
    <row r="2162" s="79" customFormat="1" ht="24.75" customHeight="1" x14ac:dyDescent="0.25"/>
    <row r="2163" s="79" customFormat="1" ht="24.75" customHeight="1" x14ac:dyDescent="0.25"/>
    <row r="2164" s="79" customFormat="1" ht="24.75" customHeight="1" x14ac:dyDescent="0.25"/>
    <row r="2165" s="79" customFormat="1" ht="24.75" customHeight="1" x14ac:dyDescent="0.25"/>
    <row r="2166" s="79" customFormat="1" ht="24.75" customHeight="1" x14ac:dyDescent="0.25"/>
    <row r="2167" s="79" customFormat="1" ht="24.75" customHeight="1" x14ac:dyDescent="0.25"/>
    <row r="2168" s="79" customFormat="1" ht="24.75" customHeight="1" x14ac:dyDescent="0.25"/>
    <row r="2169" s="79" customFormat="1" ht="24.75" customHeight="1" x14ac:dyDescent="0.25"/>
    <row r="2170" s="79" customFormat="1" ht="24.75" customHeight="1" x14ac:dyDescent="0.25"/>
    <row r="2171" s="79" customFormat="1" ht="24.75" customHeight="1" x14ac:dyDescent="0.25"/>
    <row r="2172" s="79" customFormat="1" ht="24.75" customHeight="1" x14ac:dyDescent="0.25"/>
    <row r="2173" s="79" customFormat="1" ht="24.75" customHeight="1" x14ac:dyDescent="0.25"/>
    <row r="2174" s="79" customFormat="1" ht="24.75" customHeight="1" x14ac:dyDescent="0.25"/>
    <row r="2175" s="79" customFormat="1" ht="24.75" customHeight="1" x14ac:dyDescent="0.25"/>
    <row r="2176" s="79" customFormat="1" ht="24.75" customHeight="1" x14ac:dyDescent="0.25"/>
    <row r="2177" s="79" customFormat="1" ht="24.75" customHeight="1" x14ac:dyDescent="0.25"/>
    <row r="2178" s="79" customFormat="1" ht="24.75" customHeight="1" x14ac:dyDescent="0.25"/>
    <row r="2179" s="79" customFormat="1" ht="24.75" customHeight="1" x14ac:dyDescent="0.25"/>
    <row r="2180" s="79" customFormat="1" ht="24.75" customHeight="1" x14ac:dyDescent="0.25"/>
    <row r="2181" s="79" customFormat="1" ht="24.75" customHeight="1" x14ac:dyDescent="0.25"/>
    <row r="2182" s="79" customFormat="1" ht="24.75" customHeight="1" x14ac:dyDescent="0.25"/>
    <row r="2183" s="79" customFormat="1" ht="24.75" customHeight="1" x14ac:dyDescent="0.25"/>
    <row r="2184" s="79" customFormat="1" ht="24.75" customHeight="1" x14ac:dyDescent="0.25"/>
    <row r="2185" s="79" customFormat="1" ht="24.75" customHeight="1" x14ac:dyDescent="0.25"/>
    <row r="2186" s="79" customFormat="1" ht="24.75" customHeight="1" x14ac:dyDescent="0.25"/>
    <row r="2187" s="79" customFormat="1" ht="24.75" customHeight="1" x14ac:dyDescent="0.25"/>
    <row r="2188" s="79" customFormat="1" ht="24.75" customHeight="1" x14ac:dyDescent="0.25"/>
    <row r="2189" s="79" customFormat="1" ht="24.75" customHeight="1" x14ac:dyDescent="0.25"/>
    <row r="2190" s="79" customFormat="1" ht="24.75" customHeight="1" x14ac:dyDescent="0.25"/>
    <row r="2191" s="79" customFormat="1" ht="24.75" customHeight="1" x14ac:dyDescent="0.25"/>
    <row r="2192" s="79" customFormat="1" ht="24.75" customHeight="1" x14ac:dyDescent="0.25"/>
    <row r="2193" s="79" customFormat="1" ht="24.75" customHeight="1" x14ac:dyDescent="0.25"/>
    <row r="2194" s="79" customFormat="1" ht="24.75" customHeight="1" x14ac:dyDescent="0.25"/>
    <row r="2195" s="79" customFormat="1" ht="24.75" customHeight="1" x14ac:dyDescent="0.25"/>
    <row r="2196" s="79" customFormat="1" ht="24.75" customHeight="1" x14ac:dyDescent="0.25"/>
    <row r="2197" s="79" customFormat="1" ht="24.75" customHeight="1" x14ac:dyDescent="0.25"/>
    <row r="2198" s="79" customFormat="1" ht="24.75" customHeight="1" x14ac:dyDescent="0.25"/>
    <row r="2199" s="79" customFormat="1" ht="24.75" customHeight="1" x14ac:dyDescent="0.25"/>
    <row r="2200" s="79" customFormat="1" ht="24.75" customHeight="1" x14ac:dyDescent="0.25"/>
    <row r="2201" s="79" customFormat="1" ht="24.75" customHeight="1" x14ac:dyDescent="0.25"/>
    <row r="2202" s="79" customFormat="1" ht="24.75" customHeight="1" x14ac:dyDescent="0.25"/>
    <row r="2203" s="79" customFormat="1" ht="24.75" customHeight="1" x14ac:dyDescent="0.25"/>
    <row r="2204" s="79" customFormat="1" ht="24.75" customHeight="1" x14ac:dyDescent="0.25"/>
    <row r="2205" s="79" customFormat="1" ht="24.75" customHeight="1" x14ac:dyDescent="0.25"/>
    <row r="2206" s="79" customFormat="1" ht="24.75" customHeight="1" x14ac:dyDescent="0.25"/>
    <row r="2207" s="79" customFormat="1" ht="24.75" customHeight="1" x14ac:dyDescent="0.25"/>
    <row r="2208" s="79" customFormat="1" ht="24.75" customHeight="1" x14ac:dyDescent="0.25"/>
    <row r="2209" s="79" customFormat="1" ht="24.75" customHeight="1" x14ac:dyDescent="0.25"/>
    <row r="2210" s="79" customFormat="1" ht="24.75" customHeight="1" x14ac:dyDescent="0.25"/>
    <row r="2211" s="79" customFormat="1" ht="24.75" customHeight="1" x14ac:dyDescent="0.25"/>
    <row r="2212" s="79" customFormat="1" ht="24.75" customHeight="1" x14ac:dyDescent="0.25"/>
    <row r="2213" s="79" customFormat="1" ht="24.75" customHeight="1" x14ac:dyDescent="0.25"/>
    <row r="2214" s="79" customFormat="1" ht="24.75" customHeight="1" x14ac:dyDescent="0.25"/>
    <row r="2215" s="79" customFormat="1" ht="24.75" customHeight="1" x14ac:dyDescent="0.25"/>
    <row r="2216" s="79" customFormat="1" ht="24.75" customHeight="1" x14ac:dyDescent="0.25"/>
    <row r="2217" s="79" customFormat="1" ht="24.75" customHeight="1" x14ac:dyDescent="0.25"/>
    <row r="2218" s="79" customFormat="1" ht="24.75" customHeight="1" x14ac:dyDescent="0.25"/>
    <row r="2219" s="79" customFormat="1" ht="24.75" customHeight="1" x14ac:dyDescent="0.25"/>
    <row r="2220" s="79" customFormat="1" ht="24.75" customHeight="1" x14ac:dyDescent="0.25"/>
    <row r="2221" s="79" customFormat="1" ht="24.75" customHeight="1" x14ac:dyDescent="0.25"/>
    <row r="2222" s="79" customFormat="1" ht="24.75" customHeight="1" x14ac:dyDescent="0.25"/>
    <row r="2223" s="79" customFormat="1" ht="24.75" customHeight="1" x14ac:dyDescent="0.25"/>
    <row r="2224" s="79" customFormat="1" ht="24.75" customHeight="1" x14ac:dyDescent="0.25"/>
    <row r="2225" s="79" customFormat="1" ht="24.75" customHeight="1" x14ac:dyDescent="0.25"/>
    <row r="2226" s="79" customFormat="1" ht="24.75" customHeight="1" x14ac:dyDescent="0.25"/>
    <row r="2227" s="79" customFormat="1" ht="24.75" customHeight="1" x14ac:dyDescent="0.25"/>
    <row r="2228" s="79" customFormat="1" ht="24.75" customHeight="1" x14ac:dyDescent="0.25"/>
    <row r="2229" s="79" customFormat="1" ht="24.75" customHeight="1" x14ac:dyDescent="0.25"/>
    <row r="2230" s="79" customFormat="1" ht="24.75" customHeight="1" x14ac:dyDescent="0.25"/>
    <row r="2231" s="79" customFormat="1" ht="24.75" customHeight="1" x14ac:dyDescent="0.25"/>
    <row r="2232" s="79" customFormat="1" ht="24.75" customHeight="1" x14ac:dyDescent="0.25"/>
    <row r="2233" s="79" customFormat="1" ht="24.75" customHeight="1" x14ac:dyDescent="0.25"/>
    <row r="2234" s="79" customFormat="1" ht="24.75" customHeight="1" x14ac:dyDescent="0.25"/>
    <row r="2235" s="79" customFormat="1" ht="24.75" customHeight="1" x14ac:dyDescent="0.25"/>
    <row r="2236" s="79" customFormat="1" ht="24.75" customHeight="1" x14ac:dyDescent="0.25"/>
    <row r="2237" s="79" customFormat="1" ht="24.75" customHeight="1" x14ac:dyDescent="0.25"/>
    <row r="2238" s="79" customFormat="1" ht="24.75" customHeight="1" x14ac:dyDescent="0.25"/>
    <row r="2239" s="79" customFormat="1" ht="24.75" customHeight="1" x14ac:dyDescent="0.25"/>
    <row r="2240" s="79" customFormat="1" ht="24.75" customHeight="1" x14ac:dyDescent="0.25"/>
    <row r="2241" s="79" customFormat="1" ht="24.75" customHeight="1" x14ac:dyDescent="0.25"/>
    <row r="2242" s="79" customFormat="1" ht="24.75" customHeight="1" x14ac:dyDescent="0.25"/>
    <row r="2243" s="79" customFormat="1" ht="24.75" customHeight="1" x14ac:dyDescent="0.25"/>
    <row r="2244" s="79" customFormat="1" ht="24.75" customHeight="1" x14ac:dyDescent="0.25"/>
    <row r="2245" s="79" customFormat="1" ht="24.75" customHeight="1" x14ac:dyDescent="0.25"/>
    <row r="2246" s="79" customFormat="1" ht="24.75" customHeight="1" x14ac:dyDescent="0.25"/>
    <row r="2247" s="79" customFormat="1" ht="24.75" customHeight="1" x14ac:dyDescent="0.25"/>
    <row r="2248" s="79" customFormat="1" ht="24.75" customHeight="1" x14ac:dyDescent="0.25"/>
    <row r="2249" s="79" customFormat="1" ht="24.75" customHeight="1" x14ac:dyDescent="0.25"/>
    <row r="2250" s="79" customFormat="1" ht="24.75" customHeight="1" x14ac:dyDescent="0.25"/>
    <row r="2251" s="79" customFormat="1" ht="24.75" customHeight="1" x14ac:dyDescent="0.25"/>
    <row r="2252" s="79" customFormat="1" ht="24.75" customHeight="1" x14ac:dyDescent="0.25"/>
    <row r="2253" s="79" customFormat="1" ht="24.75" customHeight="1" x14ac:dyDescent="0.25"/>
    <row r="2254" s="79" customFormat="1" ht="24.75" customHeight="1" x14ac:dyDescent="0.25"/>
    <row r="2255" s="79" customFormat="1" ht="24.75" customHeight="1" x14ac:dyDescent="0.25"/>
    <row r="2256" s="79" customFormat="1" ht="24.75" customHeight="1" x14ac:dyDescent="0.25"/>
    <row r="2257" s="79" customFormat="1" ht="24.75" customHeight="1" x14ac:dyDescent="0.25"/>
    <row r="2258" s="79" customFormat="1" ht="24.75" customHeight="1" x14ac:dyDescent="0.25"/>
    <row r="2259" s="79" customFormat="1" ht="24.75" customHeight="1" x14ac:dyDescent="0.25"/>
    <row r="2260" s="79" customFormat="1" ht="24.75" customHeight="1" x14ac:dyDescent="0.25"/>
    <row r="2261" s="79" customFormat="1" ht="24.75" customHeight="1" x14ac:dyDescent="0.25"/>
    <row r="2262" s="79" customFormat="1" ht="24.75" customHeight="1" x14ac:dyDescent="0.25"/>
    <row r="2263" s="79" customFormat="1" ht="24.75" customHeight="1" x14ac:dyDescent="0.25"/>
    <row r="2264" s="79" customFormat="1" ht="24.75" customHeight="1" x14ac:dyDescent="0.25"/>
    <row r="2265" s="79" customFormat="1" ht="24.75" customHeight="1" x14ac:dyDescent="0.25"/>
    <row r="2266" s="79" customFormat="1" ht="24.75" customHeight="1" x14ac:dyDescent="0.25"/>
    <row r="2267" s="79" customFormat="1" ht="24.75" customHeight="1" x14ac:dyDescent="0.25"/>
    <row r="2268" s="79" customFormat="1" ht="24.75" customHeight="1" x14ac:dyDescent="0.25"/>
    <row r="2269" s="79" customFormat="1" ht="24.75" customHeight="1" x14ac:dyDescent="0.25"/>
    <row r="2270" s="79" customFormat="1" ht="24.75" customHeight="1" x14ac:dyDescent="0.25"/>
    <row r="2271" s="79" customFormat="1" ht="24.75" customHeight="1" x14ac:dyDescent="0.25"/>
    <row r="2272" s="79" customFormat="1" ht="24.75" customHeight="1" x14ac:dyDescent="0.25"/>
    <row r="2273" s="79" customFormat="1" ht="24.75" customHeight="1" x14ac:dyDescent="0.25"/>
    <row r="2274" s="79" customFormat="1" ht="24.75" customHeight="1" x14ac:dyDescent="0.25"/>
    <row r="2275" s="79" customFormat="1" ht="24.75" customHeight="1" x14ac:dyDescent="0.25"/>
    <row r="2276" s="79" customFormat="1" ht="24.75" customHeight="1" x14ac:dyDescent="0.25"/>
    <row r="2277" s="79" customFormat="1" ht="24.75" customHeight="1" x14ac:dyDescent="0.25"/>
    <row r="2278" s="79" customFormat="1" ht="24.75" customHeight="1" x14ac:dyDescent="0.25"/>
    <row r="2279" s="79" customFormat="1" ht="24.75" customHeight="1" x14ac:dyDescent="0.25"/>
    <row r="2280" s="79" customFormat="1" ht="24.75" customHeight="1" x14ac:dyDescent="0.25"/>
    <row r="2281" s="79" customFormat="1" ht="24.75" customHeight="1" x14ac:dyDescent="0.25"/>
    <row r="2282" s="79" customFormat="1" ht="24.75" customHeight="1" x14ac:dyDescent="0.25"/>
    <row r="2283" s="79" customFormat="1" ht="24.75" customHeight="1" x14ac:dyDescent="0.25"/>
    <row r="2284" s="79" customFormat="1" ht="24.75" customHeight="1" x14ac:dyDescent="0.25"/>
    <row r="2285" s="79" customFormat="1" ht="24.75" customHeight="1" x14ac:dyDescent="0.25"/>
    <row r="2286" s="79" customFormat="1" ht="24.75" customHeight="1" x14ac:dyDescent="0.25"/>
    <row r="2287" s="79" customFormat="1" ht="24.75" customHeight="1" x14ac:dyDescent="0.25"/>
    <row r="2288" s="79" customFormat="1" ht="24.75" customHeight="1" x14ac:dyDescent="0.25"/>
    <row r="2289" s="79" customFormat="1" ht="24.75" customHeight="1" x14ac:dyDescent="0.25"/>
    <row r="2290" s="79" customFormat="1" ht="24.75" customHeight="1" x14ac:dyDescent="0.25"/>
    <row r="2291" s="79" customFormat="1" ht="24.75" customHeight="1" x14ac:dyDescent="0.25"/>
    <row r="2292" s="79" customFormat="1" ht="24.75" customHeight="1" x14ac:dyDescent="0.25"/>
    <row r="2293" s="79" customFormat="1" ht="24.75" customHeight="1" x14ac:dyDescent="0.25"/>
    <row r="2294" s="79" customFormat="1" ht="24.75" customHeight="1" x14ac:dyDescent="0.25"/>
    <row r="2295" s="79" customFormat="1" ht="24.75" customHeight="1" x14ac:dyDescent="0.25"/>
    <row r="2296" s="79" customFormat="1" ht="24.75" customHeight="1" x14ac:dyDescent="0.25"/>
    <row r="2297" s="79" customFormat="1" ht="24.75" customHeight="1" x14ac:dyDescent="0.25"/>
    <row r="2298" s="79" customFormat="1" ht="24.75" customHeight="1" x14ac:dyDescent="0.25"/>
    <row r="2299" s="79" customFormat="1" ht="24.75" customHeight="1" x14ac:dyDescent="0.25"/>
    <row r="2300" s="79" customFormat="1" ht="24.75" customHeight="1" x14ac:dyDescent="0.25"/>
    <row r="2301" s="79" customFormat="1" ht="24.75" customHeight="1" x14ac:dyDescent="0.25"/>
    <row r="2302" s="79" customFormat="1" ht="24.75" customHeight="1" x14ac:dyDescent="0.25"/>
    <row r="2303" s="79" customFormat="1" ht="24.75" customHeight="1" x14ac:dyDescent="0.25"/>
    <row r="2304" s="79" customFormat="1" ht="24.75" customHeight="1" x14ac:dyDescent="0.25"/>
    <row r="2305" s="79" customFormat="1" ht="24.75" customHeight="1" x14ac:dyDescent="0.25"/>
    <row r="2306" s="79" customFormat="1" ht="24.75" customHeight="1" x14ac:dyDescent="0.25"/>
    <row r="2307" s="79" customFormat="1" ht="24.75" customHeight="1" x14ac:dyDescent="0.25"/>
    <row r="2308" s="79" customFormat="1" ht="24.75" customHeight="1" x14ac:dyDescent="0.25"/>
    <row r="2309" s="79" customFormat="1" ht="24.75" customHeight="1" x14ac:dyDescent="0.25"/>
    <row r="2310" s="79" customFormat="1" ht="24.75" customHeight="1" x14ac:dyDescent="0.25"/>
    <row r="2311" s="79" customFormat="1" ht="24.75" customHeight="1" x14ac:dyDescent="0.25"/>
    <row r="2312" s="79" customFormat="1" ht="24.75" customHeight="1" x14ac:dyDescent="0.25"/>
    <row r="2313" s="79" customFormat="1" ht="24.75" customHeight="1" x14ac:dyDescent="0.25"/>
    <row r="2314" s="79" customFormat="1" ht="24.75" customHeight="1" x14ac:dyDescent="0.25"/>
    <row r="2315" s="79" customFormat="1" ht="24.75" customHeight="1" x14ac:dyDescent="0.25"/>
    <row r="2316" s="79" customFormat="1" ht="24.75" customHeight="1" x14ac:dyDescent="0.25"/>
    <row r="2317" s="79" customFormat="1" ht="24.75" customHeight="1" x14ac:dyDescent="0.25"/>
    <row r="2318" s="79" customFormat="1" ht="24.75" customHeight="1" x14ac:dyDescent="0.25"/>
    <row r="2319" s="79" customFormat="1" ht="24.75" customHeight="1" x14ac:dyDescent="0.25"/>
    <row r="2320" s="79" customFormat="1" ht="24.75" customHeight="1" x14ac:dyDescent="0.25"/>
    <row r="2321" s="79" customFormat="1" ht="24.75" customHeight="1" x14ac:dyDescent="0.25"/>
    <row r="2322" s="79" customFormat="1" ht="24.75" customHeight="1" x14ac:dyDescent="0.25"/>
    <row r="2323" s="79" customFormat="1" ht="24.75" customHeight="1" x14ac:dyDescent="0.25"/>
    <row r="2324" s="79" customFormat="1" ht="24.75" customHeight="1" x14ac:dyDescent="0.25"/>
    <row r="2325" s="79" customFormat="1" ht="24.75" customHeight="1" x14ac:dyDescent="0.25"/>
    <row r="2326" s="79" customFormat="1" ht="24.75" customHeight="1" x14ac:dyDescent="0.25"/>
    <row r="2327" s="79" customFormat="1" ht="24.75" customHeight="1" x14ac:dyDescent="0.25"/>
    <row r="2328" s="79" customFormat="1" ht="24.75" customHeight="1" x14ac:dyDescent="0.25"/>
    <row r="2329" s="79" customFormat="1" ht="24.75" customHeight="1" x14ac:dyDescent="0.25"/>
    <row r="2330" s="79" customFormat="1" ht="24.75" customHeight="1" x14ac:dyDescent="0.25"/>
    <row r="2331" s="79" customFormat="1" ht="24.75" customHeight="1" x14ac:dyDescent="0.25"/>
    <row r="2332" s="79" customFormat="1" ht="24.75" customHeight="1" x14ac:dyDescent="0.25"/>
    <row r="2333" s="79" customFormat="1" ht="24.75" customHeight="1" x14ac:dyDescent="0.25"/>
    <row r="2334" s="79" customFormat="1" ht="24.75" customHeight="1" x14ac:dyDescent="0.25"/>
    <row r="2335" s="79" customFormat="1" ht="24.75" customHeight="1" x14ac:dyDescent="0.25"/>
    <row r="2336" s="79" customFormat="1" ht="24.75" customHeight="1" x14ac:dyDescent="0.25"/>
    <row r="2337" s="79" customFormat="1" ht="24.75" customHeight="1" x14ac:dyDescent="0.25"/>
    <row r="2338" s="79" customFormat="1" ht="24.75" customHeight="1" x14ac:dyDescent="0.25"/>
    <row r="2339" s="79" customFormat="1" ht="24.75" customHeight="1" x14ac:dyDescent="0.25"/>
    <row r="2340" s="79" customFormat="1" ht="24.75" customHeight="1" x14ac:dyDescent="0.25"/>
    <row r="2341" s="79" customFormat="1" ht="24.75" customHeight="1" x14ac:dyDescent="0.25"/>
    <row r="2342" s="79" customFormat="1" ht="24.75" customHeight="1" x14ac:dyDescent="0.25"/>
    <row r="2343" s="79" customFormat="1" ht="24.75" customHeight="1" x14ac:dyDescent="0.25"/>
    <row r="2344" s="79" customFormat="1" ht="24.75" customHeight="1" x14ac:dyDescent="0.25"/>
    <row r="2345" s="79" customFormat="1" ht="24.75" customHeight="1" x14ac:dyDescent="0.25"/>
    <row r="2346" s="79" customFormat="1" ht="24.75" customHeight="1" x14ac:dyDescent="0.25"/>
    <row r="2347" s="79" customFormat="1" ht="24.75" customHeight="1" x14ac:dyDescent="0.25"/>
    <row r="2348" s="79" customFormat="1" ht="24.75" customHeight="1" x14ac:dyDescent="0.25"/>
    <row r="2349" s="79" customFormat="1" ht="24.75" customHeight="1" x14ac:dyDescent="0.25"/>
    <row r="2350" s="79" customFormat="1" ht="24.75" customHeight="1" x14ac:dyDescent="0.25"/>
    <row r="2351" s="79" customFormat="1" ht="24.75" customHeight="1" x14ac:dyDescent="0.25"/>
    <row r="2352" s="79" customFormat="1" ht="24.75" customHeight="1" x14ac:dyDescent="0.25"/>
    <row r="2353" s="79" customFormat="1" ht="24.75" customHeight="1" x14ac:dyDescent="0.25"/>
    <row r="2354" s="79" customFormat="1" ht="24.75" customHeight="1" x14ac:dyDescent="0.25"/>
    <row r="2355" s="79" customFormat="1" ht="24.75" customHeight="1" x14ac:dyDescent="0.25"/>
    <row r="2356" s="79" customFormat="1" ht="24.75" customHeight="1" x14ac:dyDescent="0.25"/>
    <row r="2357" s="79" customFormat="1" ht="24.75" customHeight="1" x14ac:dyDescent="0.25"/>
    <row r="2358" s="79" customFormat="1" ht="24.75" customHeight="1" x14ac:dyDescent="0.25"/>
    <row r="2359" s="79" customFormat="1" ht="24.75" customHeight="1" x14ac:dyDescent="0.25"/>
    <row r="2360" s="79" customFormat="1" ht="24.75" customHeight="1" x14ac:dyDescent="0.25"/>
    <row r="2361" s="79" customFormat="1" ht="24.75" customHeight="1" x14ac:dyDescent="0.25"/>
    <row r="2362" s="79" customFormat="1" ht="24.75" customHeight="1" x14ac:dyDescent="0.25"/>
    <row r="2363" s="79" customFormat="1" ht="24.75" customHeight="1" x14ac:dyDescent="0.25"/>
    <row r="2364" s="79" customFormat="1" ht="24.75" customHeight="1" x14ac:dyDescent="0.25"/>
    <row r="2365" s="79" customFormat="1" ht="24.75" customHeight="1" x14ac:dyDescent="0.25"/>
    <row r="2366" s="79" customFormat="1" ht="24.75" customHeight="1" x14ac:dyDescent="0.25"/>
    <row r="2367" s="79" customFormat="1" ht="24.75" customHeight="1" x14ac:dyDescent="0.25"/>
    <row r="2368" s="79" customFormat="1" ht="24.75" customHeight="1" x14ac:dyDescent="0.25"/>
    <row r="2369" s="79" customFormat="1" ht="24.75" customHeight="1" x14ac:dyDescent="0.25"/>
    <row r="2370" s="79" customFormat="1" ht="24.75" customHeight="1" x14ac:dyDescent="0.25"/>
    <row r="2371" s="79" customFormat="1" ht="24.75" customHeight="1" x14ac:dyDescent="0.25"/>
    <row r="2372" s="79" customFormat="1" ht="24.75" customHeight="1" x14ac:dyDescent="0.25"/>
    <row r="2373" s="79" customFormat="1" ht="24.75" customHeight="1" x14ac:dyDescent="0.25"/>
    <row r="2374" s="79" customFormat="1" ht="24.75" customHeight="1" x14ac:dyDescent="0.25"/>
    <row r="2375" s="79" customFormat="1" ht="24.75" customHeight="1" x14ac:dyDescent="0.25"/>
    <row r="2376" s="79" customFormat="1" ht="24.75" customHeight="1" x14ac:dyDescent="0.25"/>
    <row r="2377" s="79" customFormat="1" ht="24.75" customHeight="1" x14ac:dyDescent="0.25"/>
    <row r="2378" s="79" customFormat="1" ht="24.75" customHeight="1" x14ac:dyDescent="0.25"/>
    <row r="2379" s="79" customFormat="1" ht="24.75" customHeight="1" x14ac:dyDescent="0.25"/>
    <row r="2380" s="79" customFormat="1" ht="24.75" customHeight="1" x14ac:dyDescent="0.25"/>
    <row r="2381" s="79" customFormat="1" ht="24.75" customHeight="1" x14ac:dyDescent="0.25"/>
    <row r="2382" s="79" customFormat="1" ht="24.75" customHeight="1" x14ac:dyDescent="0.25"/>
    <row r="2383" s="79" customFormat="1" ht="24.75" customHeight="1" x14ac:dyDescent="0.25"/>
    <row r="2384" s="79" customFormat="1" ht="24.75" customHeight="1" x14ac:dyDescent="0.25"/>
    <row r="2385" s="79" customFormat="1" ht="24.75" customHeight="1" x14ac:dyDescent="0.25"/>
    <row r="2386" s="79" customFormat="1" ht="24.75" customHeight="1" x14ac:dyDescent="0.25"/>
    <row r="2387" s="79" customFormat="1" ht="24.75" customHeight="1" x14ac:dyDescent="0.25"/>
    <row r="2388" s="79" customFormat="1" ht="24.75" customHeight="1" x14ac:dyDescent="0.25"/>
    <row r="2389" s="79" customFormat="1" ht="24.75" customHeight="1" x14ac:dyDescent="0.25"/>
    <row r="2390" s="79" customFormat="1" ht="24.75" customHeight="1" x14ac:dyDescent="0.25"/>
    <row r="2391" s="79" customFormat="1" ht="24.75" customHeight="1" x14ac:dyDescent="0.25"/>
    <row r="2392" s="79" customFormat="1" ht="24.75" customHeight="1" x14ac:dyDescent="0.25"/>
    <row r="2393" s="79" customFormat="1" ht="24.75" customHeight="1" x14ac:dyDescent="0.25"/>
    <row r="2394" s="79" customFormat="1" ht="24.75" customHeight="1" x14ac:dyDescent="0.25"/>
    <row r="2395" s="79" customFormat="1" ht="24.75" customHeight="1" x14ac:dyDescent="0.25"/>
    <row r="2396" s="79" customFormat="1" ht="24.75" customHeight="1" x14ac:dyDescent="0.25"/>
    <row r="2397" s="79" customFormat="1" ht="24.75" customHeight="1" x14ac:dyDescent="0.25"/>
    <row r="2398" s="79" customFormat="1" ht="24.75" customHeight="1" x14ac:dyDescent="0.25"/>
    <row r="2399" s="79" customFormat="1" ht="24.75" customHeight="1" x14ac:dyDescent="0.25"/>
    <row r="2400" s="79" customFormat="1" ht="24.75" customHeight="1" x14ac:dyDescent="0.25"/>
    <row r="2401" s="79" customFormat="1" ht="24.75" customHeight="1" x14ac:dyDescent="0.25"/>
    <row r="2402" s="79" customFormat="1" ht="24.75" customHeight="1" x14ac:dyDescent="0.25"/>
    <row r="2403" s="79" customFormat="1" ht="24.75" customHeight="1" x14ac:dyDescent="0.25"/>
    <row r="2404" s="79" customFormat="1" ht="24.75" customHeight="1" x14ac:dyDescent="0.25"/>
    <row r="2405" s="79" customFormat="1" ht="24.75" customHeight="1" x14ac:dyDescent="0.25"/>
    <row r="2406" s="79" customFormat="1" ht="24.75" customHeight="1" x14ac:dyDescent="0.25"/>
    <row r="2407" s="79" customFormat="1" ht="24.75" customHeight="1" x14ac:dyDescent="0.25"/>
    <row r="2408" s="79" customFormat="1" ht="24.75" customHeight="1" x14ac:dyDescent="0.25"/>
    <row r="2409" s="79" customFormat="1" ht="24.75" customHeight="1" x14ac:dyDescent="0.25"/>
    <row r="2410" s="79" customFormat="1" ht="24.75" customHeight="1" x14ac:dyDescent="0.25"/>
    <row r="2411" s="79" customFormat="1" ht="24.75" customHeight="1" x14ac:dyDescent="0.25"/>
    <row r="2412" s="79" customFormat="1" ht="24.75" customHeight="1" x14ac:dyDescent="0.25"/>
    <row r="2413" s="79" customFormat="1" ht="24.75" customHeight="1" x14ac:dyDescent="0.25"/>
    <row r="2414" s="79" customFormat="1" ht="24.75" customHeight="1" x14ac:dyDescent="0.25"/>
    <row r="2415" s="79" customFormat="1" ht="24.75" customHeight="1" x14ac:dyDescent="0.25"/>
    <row r="2416" s="79" customFormat="1" ht="24.75" customHeight="1" x14ac:dyDescent="0.25"/>
    <row r="2417" s="79" customFormat="1" ht="24.75" customHeight="1" x14ac:dyDescent="0.25"/>
    <row r="2418" s="79" customFormat="1" ht="24.75" customHeight="1" x14ac:dyDescent="0.25"/>
    <row r="2419" s="79" customFormat="1" ht="24.75" customHeight="1" x14ac:dyDescent="0.25"/>
    <row r="2420" s="79" customFormat="1" ht="24.75" customHeight="1" x14ac:dyDescent="0.25"/>
    <row r="2421" s="79" customFormat="1" ht="24.75" customHeight="1" x14ac:dyDescent="0.25"/>
    <row r="2422" s="79" customFormat="1" ht="24.75" customHeight="1" x14ac:dyDescent="0.25"/>
    <row r="2423" s="79" customFormat="1" ht="24.75" customHeight="1" x14ac:dyDescent="0.25"/>
    <row r="2424" s="79" customFormat="1" ht="24.75" customHeight="1" x14ac:dyDescent="0.25"/>
    <row r="2425" s="79" customFormat="1" ht="24.75" customHeight="1" x14ac:dyDescent="0.25"/>
    <row r="2426" s="79" customFormat="1" ht="24.75" customHeight="1" x14ac:dyDescent="0.25"/>
    <row r="2427" s="79" customFormat="1" ht="24.75" customHeight="1" x14ac:dyDescent="0.25"/>
    <row r="2428" s="79" customFormat="1" ht="24.75" customHeight="1" x14ac:dyDescent="0.25"/>
    <row r="2429" s="79" customFormat="1" ht="24.75" customHeight="1" x14ac:dyDescent="0.25"/>
    <row r="2430" s="79" customFormat="1" ht="24.75" customHeight="1" x14ac:dyDescent="0.25"/>
    <row r="2431" s="79" customFormat="1" ht="24.75" customHeight="1" x14ac:dyDescent="0.25"/>
    <row r="2432" s="79" customFormat="1" ht="24.75" customHeight="1" x14ac:dyDescent="0.25"/>
    <row r="2433" s="79" customFormat="1" ht="24.75" customHeight="1" x14ac:dyDescent="0.25"/>
    <row r="2434" s="79" customFormat="1" ht="24.75" customHeight="1" x14ac:dyDescent="0.25"/>
    <row r="2435" s="79" customFormat="1" ht="24.75" customHeight="1" x14ac:dyDescent="0.25"/>
    <row r="2436" s="79" customFormat="1" ht="24.75" customHeight="1" x14ac:dyDescent="0.25"/>
    <row r="2437" s="79" customFormat="1" ht="24.75" customHeight="1" x14ac:dyDescent="0.25"/>
    <row r="2438" s="79" customFormat="1" ht="24.75" customHeight="1" x14ac:dyDescent="0.25"/>
    <row r="2439" s="79" customFormat="1" ht="24.75" customHeight="1" x14ac:dyDescent="0.25"/>
    <row r="2440" s="79" customFormat="1" ht="24.75" customHeight="1" x14ac:dyDescent="0.25"/>
    <row r="2441" s="79" customFormat="1" ht="24.75" customHeight="1" x14ac:dyDescent="0.25"/>
    <row r="2442" s="79" customFormat="1" ht="24.75" customHeight="1" x14ac:dyDescent="0.25"/>
    <row r="2443" s="79" customFormat="1" ht="24.75" customHeight="1" x14ac:dyDescent="0.25"/>
    <row r="2444" s="79" customFormat="1" ht="24.75" customHeight="1" x14ac:dyDescent="0.25"/>
    <row r="2445" s="79" customFormat="1" ht="24.75" customHeight="1" x14ac:dyDescent="0.25"/>
    <row r="2446" s="79" customFormat="1" ht="24.75" customHeight="1" x14ac:dyDescent="0.25"/>
    <row r="2447" s="79" customFormat="1" ht="24.75" customHeight="1" x14ac:dyDescent="0.25"/>
    <row r="2448" s="79" customFormat="1" ht="24.75" customHeight="1" x14ac:dyDescent="0.25"/>
    <row r="2449" s="79" customFormat="1" ht="24.75" customHeight="1" x14ac:dyDescent="0.25"/>
    <row r="2450" s="79" customFormat="1" ht="24.75" customHeight="1" x14ac:dyDescent="0.25"/>
    <row r="2451" s="79" customFormat="1" ht="24.75" customHeight="1" x14ac:dyDescent="0.25"/>
    <row r="2452" s="79" customFormat="1" ht="24.75" customHeight="1" x14ac:dyDescent="0.25"/>
    <row r="2453" s="79" customFormat="1" ht="24.75" customHeight="1" x14ac:dyDescent="0.25"/>
    <row r="2454" s="79" customFormat="1" ht="24.75" customHeight="1" x14ac:dyDescent="0.25"/>
    <row r="2455" s="79" customFormat="1" ht="24.75" customHeight="1" x14ac:dyDescent="0.25"/>
    <row r="2456" s="79" customFormat="1" ht="24.75" customHeight="1" x14ac:dyDescent="0.25"/>
    <row r="2457" s="79" customFormat="1" ht="24.75" customHeight="1" x14ac:dyDescent="0.25"/>
    <row r="2458" s="79" customFormat="1" ht="24.75" customHeight="1" x14ac:dyDescent="0.25"/>
    <row r="2459" s="79" customFormat="1" ht="24.75" customHeight="1" x14ac:dyDescent="0.25"/>
    <row r="2460" s="79" customFormat="1" ht="24.75" customHeight="1" x14ac:dyDescent="0.25"/>
    <row r="2461" s="79" customFormat="1" ht="24.75" customHeight="1" x14ac:dyDescent="0.25"/>
    <row r="2462" s="79" customFormat="1" ht="24.75" customHeight="1" x14ac:dyDescent="0.25"/>
    <row r="2463" s="79" customFormat="1" ht="24.75" customHeight="1" x14ac:dyDescent="0.25"/>
    <row r="2464" s="79" customFormat="1" ht="24.75" customHeight="1" x14ac:dyDescent="0.25"/>
    <row r="2465" s="79" customFormat="1" ht="24.75" customHeight="1" x14ac:dyDescent="0.25"/>
    <row r="2466" s="79" customFormat="1" ht="24.75" customHeight="1" x14ac:dyDescent="0.25"/>
    <row r="2467" s="79" customFormat="1" ht="24.75" customHeight="1" x14ac:dyDescent="0.25"/>
    <row r="2468" s="79" customFormat="1" ht="24.75" customHeight="1" x14ac:dyDescent="0.25"/>
    <row r="2469" s="79" customFormat="1" ht="24.75" customHeight="1" x14ac:dyDescent="0.25"/>
    <row r="2470" s="79" customFormat="1" ht="24.75" customHeight="1" x14ac:dyDescent="0.25"/>
    <row r="2471" s="79" customFormat="1" ht="24.75" customHeight="1" x14ac:dyDescent="0.25"/>
    <row r="2472" s="79" customFormat="1" ht="24.75" customHeight="1" x14ac:dyDescent="0.25"/>
    <row r="2473" s="79" customFormat="1" ht="24.75" customHeight="1" x14ac:dyDescent="0.25"/>
    <row r="2474" s="79" customFormat="1" ht="24.75" customHeight="1" x14ac:dyDescent="0.25"/>
    <row r="2475" s="79" customFormat="1" ht="24.75" customHeight="1" x14ac:dyDescent="0.25"/>
    <row r="2476" s="79" customFormat="1" ht="24.75" customHeight="1" x14ac:dyDescent="0.25"/>
    <row r="2477" s="79" customFormat="1" ht="24.75" customHeight="1" x14ac:dyDescent="0.25"/>
    <row r="2478" s="79" customFormat="1" ht="24.75" customHeight="1" x14ac:dyDescent="0.25"/>
    <row r="2479" s="79" customFormat="1" ht="24.75" customHeight="1" x14ac:dyDescent="0.25"/>
    <row r="2480" s="79" customFormat="1" ht="24.75" customHeight="1" x14ac:dyDescent="0.25"/>
    <row r="2481" s="79" customFormat="1" ht="24.75" customHeight="1" x14ac:dyDescent="0.25"/>
    <row r="2482" s="79" customFormat="1" ht="24.75" customHeight="1" x14ac:dyDescent="0.25"/>
    <row r="2483" s="79" customFormat="1" ht="24.75" customHeight="1" x14ac:dyDescent="0.25"/>
    <row r="2484" s="79" customFormat="1" ht="24.75" customHeight="1" x14ac:dyDescent="0.25"/>
    <row r="2485" s="79" customFormat="1" ht="24.75" customHeight="1" x14ac:dyDescent="0.25"/>
    <row r="2486" s="79" customFormat="1" ht="24.75" customHeight="1" x14ac:dyDescent="0.25"/>
    <row r="2487" s="79" customFormat="1" ht="24.75" customHeight="1" x14ac:dyDescent="0.25"/>
    <row r="2488" s="79" customFormat="1" ht="24.75" customHeight="1" x14ac:dyDescent="0.25"/>
    <row r="2489" s="79" customFormat="1" ht="24.75" customHeight="1" x14ac:dyDescent="0.25"/>
    <row r="2490" s="79" customFormat="1" ht="24.75" customHeight="1" x14ac:dyDescent="0.25"/>
    <row r="2491" s="79" customFormat="1" ht="24.75" customHeight="1" x14ac:dyDescent="0.25"/>
    <row r="2492" s="79" customFormat="1" ht="24.75" customHeight="1" x14ac:dyDescent="0.25"/>
    <row r="2493" s="79" customFormat="1" ht="24.75" customHeight="1" x14ac:dyDescent="0.25"/>
    <row r="2494" s="79" customFormat="1" ht="24.75" customHeight="1" x14ac:dyDescent="0.25"/>
    <row r="2495" s="79" customFormat="1" ht="24.75" customHeight="1" x14ac:dyDescent="0.25"/>
    <row r="2496" s="79" customFormat="1" ht="24.75" customHeight="1" x14ac:dyDescent="0.25"/>
    <row r="2497" s="79" customFormat="1" ht="24.75" customHeight="1" x14ac:dyDescent="0.25"/>
    <row r="2498" s="79" customFormat="1" ht="24.75" customHeight="1" x14ac:dyDescent="0.25"/>
    <row r="2499" s="79" customFormat="1" ht="24.75" customHeight="1" x14ac:dyDescent="0.25"/>
    <row r="2500" s="79" customFormat="1" ht="24.75" customHeight="1" x14ac:dyDescent="0.25"/>
    <row r="2501" s="79" customFormat="1" ht="24.75" customHeight="1" x14ac:dyDescent="0.25"/>
    <row r="2502" s="79" customFormat="1" ht="24.75" customHeight="1" x14ac:dyDescent="0.25"/>
    <row r="2503" s="79" customFormat="1" ht="24.75" customHeight="1" x14ac:dyDescent="0.25"/>
    <row r="2504" s="79" customFormat="1" ht="24.75" customHeight="1" x14ac:dyDescent="0.25"/>
    <row r="2505" s="79" customFormat="1" ht="24.75" customHeight="1" x14ac:dyDescent="0.25"/>
    <row r="2506" s="79" customFormat="1" ht="24.75" customHeight="1" x14ac:dyDescent="0.25"/>
  </sheetData>
  <autoFilter ref="A1:L955"/>
  <sortState ref="A2:O955">
    <sortCondition descending="1" ref="F2:F95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2015-06-19T11:49:54Z</dcterms:created>
  <dcterms:modified xsi:type="dcterms:W3CDTF">2017-01-25T09:14:38Z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92fef386-e492-4f47-a699-33fc9d0e0662</vt:lpwstr>
  </property>
</Properties>
</file>