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ngsleyenweye/Desktop/GRADUATE SCHOOL SEMESTERS/Fall 2020/ARC 327R - ENERGY MODELING &amp; THE DESIGN PROCESS/farnsworth_project/data_analysis/"/>
    </mc:Choice>
  </mc:AlternateContent>
  <xr:revisionPtr revIDLastSave="0" documentId="13_ncr:1_{0F35AA05-0F54-D244-BBBA-0D02BD1EFCFD}" xr6:coauthVersionLast="45" xr6:coauthVersionMax="45" xr10:uidLastSave="{00000000-0000-0000-0000-000000000000}"/>
  <bookViews>
    <workbookView xWindow="-8500" yWindow="-25460" windowWidth="23060" windowHeight="24380" xr2:uid="{00000000-000D-0000-FFFF-FFFF00000000}"/>
  </bookViews>
  <sheets>
    <sheet name="PH Analysis" sheetId="1" r:id="rId1"/>
    <sheet name="lookup list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1" i="1" l="1"/>
  <c r="O51" i="1"/>
  <c r="P38" i="1"/>
  <c r="P40" i="1"/>
  <c r="E38" i="1" l="1"/>
  <c r="M64" i="1" l="1"/>
  <c r="M62" i="1"/>
  <c r="M61" i="1"/>
  <c r="M60" i="1"/>
  <c r="M59" i="1"/>
  <c r="M58" i="1"/>
  <c r="M53" i="1"/>
  <c r="M54" i="1"/>
  <c r="M55" i="1"/>
  <c r="M56" i="1"/>
  <c r="M57" i="1"/>
  <c r="M63" i="1"/>
  <c r="M65" i="1"/>
  <c r="D13" i="1" l="1"/>
  <c r="M36" i="1" s="1"/>
  <c r="S41" i="1" s="1"/>
  <c r="D14" i="1"/>
  <c r="D15" i="1"/>
  <c r="D12" i="1"/>
  <c r="M35" i="1" s="1"/>
  <c r="D11" i="1"/>
  <c r="M27" i="1" s="1"/>
  <c r="D10" i="1"/>
  <c r="M26" i="1" s="1"/>
  <c r="O52" i="1" l="1"/>
  <c r="P52" i="1" s="1"/>
  <c r="O54" i="1"/>
  <c r="P54" i="1" s="1"/>
  <c r="O58" i="1"/>
  <c r="P58" i="1" s="1"/>
  <c r="O59" i="1"/>
  <c r="P59" i="1" s="1"/>
  <c r="O61" i="1"/>
  <c r="P61" i="1" s="1"/>
  <c r="O64" i="1"/>
  <c r="P64" i="1" s="1"/>
  <c r="P51" i="1"/>
  <c r="C36" i="1"/>
  <c r="I41" i="1" s="1"/>
  <c r="C35" i="1"/>
  <c r="C27" i="1"/>
  <c r="C26" i="1"/>
  <c r="P22" i="1"/>
  <c r="Q64" i="1" l="1"/>
  <c r="Q61" i="1"/>
  <c r="Q59" i="1"/>
  <c r="R38" i="1"/>
  <c r="R40" i="1"/>
  <c r="S40" i="1" s="1"/>
  <c r="N53" i="1"/>
  <c r="N61" i="1"/>
  <c r="N55" i="1"/>
  <c r="N63" i="1"/>
  <c r="N56" i="1"/>
  <c r="N64" i="1"/>
  <c r="N57" i="1"/>
  <c r="N65" i="1"/>
  <c r="N58" i="1"/>
  <c r="N59" i="1"/>
  <c r="N52" i="1"/>
  <c r="N60" i="1"/>
  <c r="N54" i="1"/>
  <c r="N62" i="1"/>
  <c r="Q51" i="1"/>
  <c r="Q58" i="1"/>
  <c r="Q54" i="1"/>
  <c r="Q52" i="1"/>
  <c r="O30" i="1"/>
  <c r="P30" i="1" s="1"/>
  <c r="O31" i="1"/>
  <c r="D30" i="1"/>
  <c r="D31" i="1"/>
  <c r="D29" i="1"/>
  <c r="F22" i="1"/>
  <c r="E40" i="1"/>
  <c r="F40" i="1" s="1"/>
  <c r="E52" i="1"/>
  <c r="F52" i="1" s="1"/>
  <c r="G7" i="2"/>
  <c r="F7" i="2"/>
  <c r="O53" i="1" s="1"/>
  <c r="P53" i="1" s="1"/>
  <c r="Q53" i="1" s="1"/>
  <c r="E53" i="1"/>
  <c r="F53" i="1" s="1"/>
  <c r="G8" i="2"/>
  <c r="E54" i="1"/>
  <c r="F54" i="1" s="1"/>
  <c r="G9" i="2"/>
  <c r="F9" i="2"/>
  <c r="O55" i="1" s="1"/>
  <c r="P55" i="1" s="1"/>
  <c r="Q55" i="1" s="1"/>
  <c r="F10" i="2"/>
  <c r="O56" i="1" s="1"/>
  <c r="P56" i="1" s="1"/>
  <c r="Q56" i="1" s="1"/>
  <c r="E56" i="1"/>
  <c r="F56" i="1" s="1"/>
  <c r="G11" i="2"/>
  <c r="F11" i="2"/>
  <c r="O57" i="1" s="1"/>
  <c r="P57" i="1" s="1"/>
  <c r="Q57" i="1" s="1"/>
  <c r="E57" i="1"/>
  <c r="F57" i="1" s="1"/>
  <c r="G57" i="1" s="1"/>
  <c r="E58" i="1"/>
  <c r="F58" i="1" s="1"/>
  <c r="G13" i="2"/>
  <c r="E59" i="1"/>
  <c r="F59" i="1" s="1"/>
  <c r="G14" i="2"/>
  <c r="F14" i="2"/>
  <c r="O60" i="1" s="1"/>
  <c r="P60" i="1" s="1"/>
  <c r="Q60" i="1" s="1"/>
  <c r="E61" i="1"/>
  <c r="F61" i="1" s="1"/>
  <c r="G16" i="2"/>
  <c r="F16" i="2"/>
  <c r="G17" i="2"/>
  <c r="F17" i="2"/>
  <c r="O63" i="1" s="1"/>
  <c r="P63" i="1" s="1"/>
  <c r="Q63" i="1" s="1"/>
  <c r="E63" i="1"/>
  <c r="F63" i="1" s="1"/>
  <c r="G63" i="1" s="1"/>
  <c r="G18" i="2"/>
  <c r="E64" i="1"/>
  <c r="F64" i="1" s="1"/>
  <c r="E18" i="2"/>
  <c r="E19" i="2"/>
  <c r="G19" i="2" s="1"/>
  <c r="E51" i="1"/>
  <c r="F51" i="1" s="1"/>
  <c r="G51" i="1" s="1"/>
  <c r="O8" i="2"/>
  <c r="D23" i="1"/>
  <c r="G58" i="1" l="1"/>
  <c r="N66" i="1"/>
  <c r="O32" i="1"/>
  <c r="S31" i="1" s="1"/>
  <c r="Q40" i="1"/>
  <c r="H40" i="1"/>
  <c r="I40" i="1" s="1"/>
  <c r="F38" i="1"/>
  <c r="G38" i="1" s="1"/>
  <c r="D52" i="1"/>
  <c r="D60" i="1"/>
  <c r="D62" i="1"/>
  <c r="D56" i="1"/>
  <c r="D64" i="1"/>
  <c r="D57" i="1"/>
  <c r="D58" i="1"/>
  <c r="D51" i="1"/>
  <c r="D59" i="1"/>
  <c r="D53" i="1"/>
  <c r="D61" i="1"/>
  <c r="D54" i="1"/>
  <c r="D55" i="1"/>
  <c r="D63" i="1"/>
  <c r="D65" i="1"/>
  <c r="G54" i="1"/>
  <c r="G61" i="1"/>
  <c r="G64" i="1"/>
  <c r="E60" i="1"/>
  <c r="F60" i="1" s="1"/>
  <c r="G60" i="1" s="1"/>
  <c r="G53" i="1"/>
  <c r="Q30" i="1"/>
  <c r="E62" i="1"/>
  <c r="F62" i="1" s="1"/>
  <c r="G62" i="1" s="1"/>
  <c r="O62" i="1"/>
  <c r="P62" i="1" s="1"/>
  <c r="G56" i="1"/>
  <c r="P31" i="1"/>
  <c r="G59" i="1"/>
  <c r="E55" i="1"/>
  <c r="F55" i="1" s="1"/>
  <c r="G55" i="1" s="1"/>
  <c r="G52" i="1"/>
  <c r="Q31" i="1"/>
  <c r="Q38" i="1"/>
  <c r="E30" i="1"/>
  <c r="H38" i="1"/>
  <c r="F19" i="2"/>
  <c r="E31" i="1"/>
  <c r="G40" i="1"/>
  <c r="D66" i="1" l="1"/>
  <c r="S30" i="1"/>
  <c r="F30" i="1"/>
  <c r="Q62" i="1"/>
  <c r="E65" i="1"/>
  <c r="F65" i="1" s="1"/>
  <c r="G65" i="1" s="1"/>
  <c r="G66" i="1" s="1"/>
  <c r="O65" i="1"/>
  <c r="P65" i="1" s="1"/>
  <c r="Q65" i="1" s="1"/>
  <c r="G30" i="1"/>
  <c r="E32" i="1"/>
  <c r="I30" i="1" s="1"/>
  <c r="G31" i="1"/>
  <c r="F31" i="1"/>
  <c r="I31" i="1" l="1"/>
  <c r="Q66" i="1"/>
  <c r="R66" i="1" s="1"/>
  <c r="F66" i="1"/>
  <c r="P66" i="1"/>
  <c r="G67" i="1"/>
  <c r="I67" i="1" s="1"/>
  <c r="H66" i="1"/>
  <c r="Q67" i="1" l="1"/>
  <c r="S67" i="1" s="1"/>
</calcChain>
</file>

<file path=xl/sharedStrings.xml><?xml version="1.0" encoding="utf-8"?>
<sst xmlns="http://schemas.openxmlformats.org/spreadsheetml/2006/main" count="219" uniqueCount="129">
  <si>
    <t>yes</t>
  </si>
  <si>
    <t>no</t>
  </si>
  <si>
    <t>Conversion Factor</t>
  </si>
  <si>
    <t>Passive House</t>
  </si>
  <si>
    <t>Site=&gt;Source Conversion Factor</t>
  </si>
  <si>
    <t>Electricity</t>
  </si>
  <si>
    <t>Natural Gas</t>
  </si>
  <si>
    <t>District Cooling</t>
  </si>
  <si>
    <t>District Heating</t>
  </si>
  <si>
    <t>Steam</t>
  </si>
  <si>
    <t>Gasoline</t>
  </si>
  <si>
    <t>Diesel</t>
  </si>
  <si>
    <t>Coal</t>
  </si>
  <si>
    <t>Fuel Oil #1</t>
  </si>
  <si>
    <t>Fuel Oil #2</t>
  </si>
  <si>
    <t>Propane</t>
  </si>
  <si>
    <t>Other Fuel 1</t>
  </si>
  <si>
    <t>Other Fuel 2</t>
  </si>
  <si>
    <t>Conditioned Floor Area</t>
  </si>
  <si>
    <t>Total Building Area</t>
  </si>
  <si>
    <t>Un-Conditioned Area</t>
  </si>
  <si>
    <t>ft2</t>
  </si>
  <si>
    <t>Primary Energy Use (kBtu)</t>
  </si>
  <si>
    <t>Conversion Factor Source:</t>
  </si>
  <si>
    <t>Heating</t>
  </si>
  <si>
    <t>Cooling</t>
  </si>
  <si>
    <t>kBtu/ft2 yr</t>
  </si>
  <si>
    <t>kBtu/yr</t>
  </si>
  <si>
    <t>3. Primary Energy Demand: ≤38 kBtu/ft2 yr (120kWh/m2 a)</t>
  </si>
  <si>
    <t>Pick #1 or #2:</t>
  </si>
  <si>
    <t>Comply with all of the following:</t>
  </si>
  <si>
    <t>Btu/hr</t>
  </si>
  <si>
    <t xml:space="preserve">Btu/hr ft2 </t>
  </si>
  <si>
    <t>PH Metric Analysis for E+/OS Model</t>
  </si>
  <si>
    <t>model file name:</t>
  </si>
  <si>
    <t>date:</t>
  </si>
  <si>
    <t>analysis by:</t>
  </si>
  <si>
    <t>Primary EUI (kBtu/ft2 yr)</t>
  </si>
  <si>
    <t>4. Airtightness: &lt;=0.6 ACH50</t>
  </si>
  <si>
    <t>Texas</t>
  </si>
  <si>
    <t>Anthracite Coal</t>
  </si>
  <si>
    <t>Bituminous Coal</t>
  </si>
  <si>
    <t>Subbitumious Coal</t>
  </si>
  <si>
    <t>Lignite Coal</t>
  </si>
  <si>
    <t>Residual Fuel Oil</t>
  </si>
  <si>
    <t>Distillate Fuel Oil</t>
  </si>
  <si>
    <t>LPG</t>
  </si>
  <si>
    <t>Kerosene</t>
  </si>
  <si>
    <t>Deru &amp; Torcellini 2007</t>
  </si>
  <si>
    <t>On-Site Solar</t>
  </si>
  <si>
    <t>On-Site Wind</t>
  </si>
  <si>
    <t>Coal Avg</t>
  </si>
  <si>
    <t>Table from Deru &amp; Torcellini 2007</t>
  </si>
  <si>
    <t>ERCOT avg elec</t>
  </si>
  <si>
    <t>CPHC Training Module 1</t>
  </si>
  <si>
    <t>E+</t>
  </si>
  <si>
    <t>Conversion Factors</t>
  </si>
  <si>
    <t>values in red taken from another source</t>
  </si>
  <si>
    <t>Conversion Factors for:</t>
  </si>
  <si>
    <t>totals</t>
  </si>
  <si>
    <t>purchased electricity from grid</t>
  </si>
  <si>
    <t>Notes</t>
  </si>
  <si>
    <t>EnergyPlus</t>
  </si>
  <si>
    <t>delta</t>
  </si>
  <si>
    <r>
      <t xml:space="preserve">Areas </t>
    </r>
    <r>
      <rPr>
        <i/>
        <sz val="6"/>
        <color theme="1"/>
        <rFont val="Calibri"/>
        <family val="2"/>
        <scheme val="minor"/>
      </rPr>
      <t>(third table down)</t>
    </r>
  </si>
  <si>
    <t>select from pull down</t>
  </si>
  <si>
    <t>Site EUI (kBtu/ft2 yr)</t>
  </si>
  <si>
    <t>Climate Zone</t>
  </si>
  <si>
    <t>City</t>
  </si>
  <si>
    <t>State</t>
  </si>
  <si>
    <t>Weather Station</t>
  </si>
  <si>
    <t xml:space="preserve">Annual Heating Demand kBtu/sf-iCFA.yr </t>
  </si>
  <si>
    <t>Annual Cooling Demand kBtu/sf-iCFA.yr</t>
  </si>
  <si>
    <t>Peak Cooling Load Btu/sf-iCFA.h</t>
  </si>
  <si>
    <t>Manual J Peak Heating Load Btu/sf-iCFA.h</t>
  </si>
  <si>
    <t>Manual J Peak Cooling Load Btu/sf-iCFA.h</t>
  </si>
  <si>
    <t>Peak Heating Load Btu/sf-iCFA.h</t>
  </si>
  <si>
    <t>Location Data</t>
  </si>
  <si>
    <t>kBtu/f2 yr</t>
  </si>
  <si>
    <t>Btu/hr ft2</t>
  </si>
  <si>
    <t xml:space="preserve"> Annual Heating Demand ≤</t>
  </si>
  <si>
    <t xml:space="preserve"> Annual Cooling Demand ≤</t>
  </si>
  <si>
    <t>total</t>
  </si>
  <si>
    <t xml:space="preserve"> Peak Heating Loads: ≤</t>
  </si>
  <si>
    <t xml:space="preserve"> Peak Cooling Loads: ≤</t>
  </si>
  <si>
    <t>delta passing</t>
  </si>
  <si>
    <t>http://www.phius.org/phius-2015-new-passive-building-standard-summary</t>
  </si>
  <si>
    <t>Fraction of area not part of iCFA</t>
  </si>
  <si>
    <t>iCFA (ft2)</t>
  </si>
  <si>
    <t>Fans</t>
  </si>
  <si>
    <t>kWh</t>
  </si>
  <si>
    <t>kW</t>
  </si>
  <si>
    <t>Locate these values under "Monthly Overview" in the Total column.</t>
  </si>
  <si>
    <t>Heating Peak Fans</t>
  </si>
  <si>
    <t>Cooling Peak Fans</t>
  </si>
  <si>
    <t>Peak Month</t>
  </si>
  <si>
    <t>none</t>
  </si>
  <si>
    <t>Sep</t>
  </si>
  <si>
    <t>Cooling Peak</t>
  </si>
  <si>
    <t>Heating Peak</t>
  </si>
  <si>
    <t>1. Total Annual Demand</t>
  </si>
  <si>
    <t>2. Peak Loads</t>
  </si>
  <si>
    <t>5. Ventilation per ASHRAE 62.1</t>
  </si>
  <si>
    <t>Under "Monthly Overview , open table for Electricity Peak Demand (KW) and select the maximum month values for heating and for cooling</t>
  </si>
  <si>
    <t>Locate under Annual Overview/ "Energy Use" and View table. PH does not give credit for renewables offsetting energy use, so these are the right numbers to use.</t>
  </si>
  <si>
    <t>instructions:Look at OpenStudio Results and locate data in Zone Overview / "Zone Summary."</t>
  </si>
  <si>
    <t>IP Inputs</t>
  </si>
  <si>
    <t>SI Inputs</t>
  </si>
  <si>
    <t>m2</t>
  </si>
  <si>
    <t>kWh/m2 yr</t>
  </si>
  <si>
    <t>W/m2</t>
  </si>
  <si>
    <t>kWh/yr</t>
  </si>
  <si>
    <t>Site EUI (kWh/m2 yr)</t>
  </si>
  <si>
    <t>Primary Energy Use (kWh/yr)</t>
  </si>
  <si>
    <t>Primary EUI (kWh/m2 yr)</t>
  </si>
  <si>
    <t>Enter data in orange text cells</t>
  </si>
  <si>
    <t>Black text cells should not be modified.</t>
  </si>
  <si>
    <t>PHIUS Location Standards</t>
  </si>
  <si>
    <t>Modify PHIUS location standards for your site. Find appropriate standards at:</t>
  </si>
  <si>
    <t>Instructions:</t>
  </si>
  <si>
    <t>Enter model data in either IP or SI units.</t>
  </si>
  <si>
    <t>Kingsley Nweye</t>
  </si>
  <si>
    <t>Chicago</t>
  </si>
  <si>
    <t>IL</t>
  </si>
  <si>
    <t>Midway Airport</t>
  </si>
  <si>
    <t>5A</t>
  </si>
  <si>
    <t>Jun</t>
  </si>
  <si>
    <t>retrofit_envelope_fenestration_schedules_loads_ventilation_infiltration_overhang_white_exterior_and_0.28window_reduction_revised.osm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</si>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</sst>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3" fontId="5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1" xfId="0" applyFont="1" applyBorder="1"/>
    <xf numFmtId="3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3" fillId="0" borderId="0" xfId="0" applyFont="1" applyAlignment="1">
      <alignment horizontal="left" indent="1"/>
    </xf>
    <xf numFmtId="0" fontId="3" fillId="0" borderId="3" xfId="0" applyFont="1" applyBorder="1"/>
    <xf numFmtId="0" fontId="3" fillId="0" borderId="4" xfId="0" applyFont="1" applyBorder="1"/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center"/>
    </xf>
    <xf numFmtId="0" fontId="8" fillId="0" borderId="1" xfId="0" applyFont="1" applyBorder="1"/>
    <xf numFmtId="0" fontId="3" fillId="0" borderId="0" xfId="0" applyFont="1" applyAlignment="1">
      <alignment horizontal="righ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9" fillId="0" borderId="1" xfId="0" applyFont="1" applyBorder="1"/>
    <xf numFmtId="0" fontId="6" fillId="0" borderId="1" xfId="0" applyFont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3" fontId="5" fillId="0" borderId="0" xfId="0" applyNumberFormat="1" applyFont="1" applyBorder="1"/>
    <xf numFmtId="0" fontId="11" fillId="0" borderId="0" xfId="0" applyFont="1"/>
    <xf numFmtId="0" fontId="1" fillId="0" borderId="2" xfId="0" applyFont="1" applyBorder="1"/>
    <xf numFmtId="0" fontId="3" fillId="0" borderId="3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vertical="top"/>
    </xf>
    <xf numFmtId="164" fontId="3" fillId="0" borderId="5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10" fillId="0" borderId="0" xfId="0" applyFont="1" applyAlignment="1">
      <alignment horizontal="right"/>
    </xf>
    <xf numFmtId="3" fontId="5" fillId="0" borderId="1" xfId="0" applyNumberFormat="1" applyFont="1" applyBorder="1"/>
    <xf numFmtId="0" fontId="3" fillId="0" borderId="3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165" fontId="3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4" fontId="3" fillId="2" borderId="3" xfId="0" applyNumberFormat="1" applyFont="1" applyFill="1" applyBorder="1" applyAlignment="1">
      <alignment horizontal="center"/>
    </xf>
    <xf numFmtId="3" fontId="14" fillId="0" borderId="0" xfId="0" applyNumberFormat="1" applyFont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5" fillId="5" borderId="0" xfId="0" applyFont="1" applyFill="1"/>
    <xf numFmtId="14" fontId="3" fillId="0" borderId="0" xfId="0" applyNumberFormat="1" applyFont="1" applyAlignment="1">
      <alignment horizontal="left"/>
    </xf>
    <xf numFmtId="165" fontId="3" fillId="0" borderId="0" xfId="0" applyNumberFormat="1" applyFont="1"/>
    <xf numFmtId="165" fontId="3" fillId="3" borderId="3" xfId="0" applyNumberFormat="1" applyFont="1" applyFill="1" applyBorder="1"/>
    <xf numFmtId="0" fontId="3" fillId="6" borderId="0" xfId="0" applyFont="1" applyFill="1"/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66" fontId="4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17" fillId="0" borderId="0" xfId="0" applyNumberFormat="1" applyFont="1" applyAlignment="1">
      <alignment horizontal="center"/>
    </xf>
    <xf numFmtId="3" fontId="17" fillId="0" borderId="1" xfId="0" applyNumberFormat="1" applyFont="1" applyBorder="1" applyAlignment="1">
      <alignment horizontal="center"/>
    </xf>
    <xf numFmtId="14" fontId="18" fillId="0" borderId="0" xfId="0" applyNumberFormat="1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Border="1"/>
    <xf numFmtId="0" fontId="11" fillId="0" borderId="0" xfId="0" applyFont="1" applyFill="1" applyAlignment="1">
      <alignment vertical="top"/>
    </xf>
    <xf numFmtId="0" fontId="12" fillId="0" borderId="0" xfId="15"/>
    <xf numFmtId="0" fontId="7" fillId="0" borderId="0" xfId="0" applyFont="1" applyAlignment="1">
      <alignment horizontal="right" wrapText="1"/>
    </xf>
    <xf numFmtId="0" fontId="0" fillId="0" borderId="0" xfId="0" applyAlignment="1">
      <alignment horizontal="right" wrapText="1"/>
    </xf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hius.org/phius-2015-new-passive-building-standard-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topLeftCell="E1" zoomScale="150" zoomScaleNormal="100" zoomScalePageLayoutView="150" workbookViewId="0">
      <selection activeCell="M40" sqref="M40"/>
    </sheetView>
  </sheetViews>
  <sheetFormatPr baseColWidth="10" defaultColWidth="8.83203125" defaultRowHeight="12" x14ac:dyDescent="0.15"/>
  <cols>
    <col min="1" max="1" width="13.5" style="2" customWidth="1"/>
    <col min="2" max="2" width="23.6640625" style="2" customWidth="1"/>
    <col min="3" max="3" width="9.5" style="2" customWidth="1"/>
    <col min="4" max="5" width="11.33203125" style="2" customWidth="1"/>
    <col min="6" max="6" width="8.83203125" style="2"/>
    <col min="7" max="7" width="12.33203125" style="2" customWidth="1"/>
    <col min="8" max="8" width="17" style="2" customWidth="1"/>
    <col min="9" max="9" width="0" style="2" hidden="1" customWidth="1"/>
    <col min="10" max="10" width="5.5" style="95" customWidth="1"/>
    <col min="11" max="11" width="12" style="2" customWidth="1"/>
    <col min="12" max="12" width="17.6640625" style="2" customWidth="1"/>
    <col min="13" max="15" width="8.83203125" style="2"/>
    <col min="16" max="16" width="11.5" style="2" bestFit="1" customWidth="1"/>
    <col min="17" max="17" width="8.83203125" style="2"/>
    <col min="18" max="18" width="13.83203125" style="2" customWidth="1"/>
    <col min="19" max="19" width="2.83203125" style="2" hidden="1" customWidth="1"/>
    <col min="20" max="16384" width="8.83203125" style="2"/>
  </cols>
  <sheetData>
    <row r="1" spans="1:7" ht="16" x14ac:dyDescent="0.2">
      <c r="A1" s="1" t="s">
        <v>33</v>
      </c>
      <c r="F1" s="103" t="s">
        <v>119</v>
      </c>
    </row>
    <row r="2" spans="1:7" x14ac:dyDescent="0.15">
      <c r="A2" s="6" t="s">
        <v>34</v>
      </c>
      <c r="B2" s="45" t="s">
        <v>127</v>
      </c>
      <c r="C2" s="6" t="s">
        <v>36</v>
      </c>
      <c r="D2" s="47" t="s">
        <v>121</v>
      </c>
      <c r="E2" s="2">
        <v>1</v>
      </c>
      <c r="F2" s="47" t="s">
        <v>115</v>
      </c>
    </row>
    <row r="3" spans="1:7" x14ac:dyDescent="0.15">
      <c r="A3" s="6" t="s">
        <v>35</v>
      </c>
      <c r="B3" s="46">
        <v>44144</v>
      </c>
      <c r="E3" s="2">
        <v>2</v>
      </c>
      <c r="F3" s="2" t="s">
        <v>116</v>
      </c>
    </row>
    <row r="4" spans="1:7" x14ac:dyDescent="0.15">
      <c r="A4" s="6"/>
      <c r="B4" s="102" t="s">
        <v>117</v>
      </c>
      <c r="E4" s="2">
        <v>3</v>
      </c>
      <c r="F4" s="90" t="s">
        <v>118</v>
      </c>
    </row>
    <row r="5" spans="1:7" ht="15" x14ac:dyDescent="0.2">
      <c r="A5" s="6"/>
      <c r="B5" s="54" t="s">
        <v>77</v>
      </c>
      <c r="G5" s="109" t="s">
        <v>86</v>
      </c>
    </row>
    <row r="6" spans="1:7" x14ac:dyDescent="0.15">
      <c r="B6" s="6" t="s">
        <v>68</v>
      </c>
      <c r="C6" s="55" t="s">
        <v>122</v>
      </c>
      <c r="E6" s="2">
        <v>4</v>
      </c>
      <c r="F6" s="2" t="s">
        <v>120</v>
      </c>
    </row>
    <row r="7" spans="1:7" x14ac:dyDescent="0.15">
      <c r="B7" s="6" t="s">
        <v>69</v>
      </c>
      <c r="C7" s="55" t="s">
        <v>123</v>
      </c>
    </row>
    <row r="8" spans="1:7" x14ac:dyDescent="0.15">
      <c r="B8" s="6" t="s">
        <v>70</v>
      </c>
      <c r="C8" s="46" t="s">
        <v>124</v>
      </c>
    </row>
    <row r="9" spans="1:7" x14ac:dyDescent="0.15">
      <c r="B9" s="6" t="s">
        <v>67</v>
      </c>
      <c r="C9" s="55" t="s">
        <v>125</v>
      </c>
    </row>
    <row r="10" spans="1:7" x14ac:dyDescent="0.15">
      <c r="B10" s="53" t="s">
        <v>71</v>
      </c>
      <c r="C10" s="4">
        <v>5.8</v>
      </c>
      <c r="D10" s="91">
        <f>C10*3.15459134796508</f>
        <v>18.296629818197463</v>
      </c>
      <c r="E10" s="90" t="s">
        <v>109</v>
      </c>
    </row>
    <row r="11" spans="1:7" x14ac:dyDescent="0.15">
      <c r="B11" s="53" t="s">
        <v>72</v>
      </c>
      <c r="C11" s="4">
        <v>4.3</v>
      </c>
      <c r="D11" s="91">
        <f>C11*3.15459134796508</f>
        <v>13.564742796249842</v>
      </c>
      <c r="E11" s="90" t="s">
        <v>109</v>
      </c>
    </row>
    <row r="12" spans="1:7" x14ac:dyDescent="0.15">
      <c r="B12" s="53" t="s">
        <v>76</v>
      </c>
      <c r="C12" s="4">
        <v>5</v>
      </c>
      <c r="D12" s="91">
        <f>C12*3.15459134796508</f>
        <v>15.7729567398254</v>
      </c>
      <c r="E12" s="2" t="s">
        <v>110</v>
      </c>
    </row>
    <row r="13" spans="1:7" x14ac:dyDescent="0.15">
      <c r="B13" s="53" t="s">
        <v>73</v>
      </c>
      <c r="C13" s="4">
        <v>4.4000000000000004</v>
      </c>
      <c r="D13" s="91">
        <f t="shared" ref="D13:D15" si="0">C13*3.15459134796508</f>
        <v>13.880201931046352</v>
      </c>
      <c r="E13" s="2" t="s">
        <v>110</v>
      </c>
    </row>
    <row r="14" spans="1:7" x14ac:dyDescent="0.15">
      <c r="B14" s="53" t="s">
        <v>74</v>
      </c>
      <c r="C14" s="4">
        <v>0</v>
      </c>
      <c r="D14" s="91">
        <f t="shared" si="0"/>
        <v>0</v>
      </c>
      <c r="E14" s="2" t="s">
        <v>110</v>
      </c>
    </row>
    <row r="15" spans="1:7" x14ac:dyDescent="0.15">
      <c r="B15" s="53" t="s">
        <v>75</v>
      </c>
      <c r="C15" s="4">
        <v>6.3</v>
      </c>
      <c r="D15" s="91">
        <f t="shared" si="0"/>
        <v>19.873925492180003</v>
      </c>
      <c r="E15" s="2" t="s">
        <v>110</v>
      </c>
    </row>
    <row r="16" spans="1:7" x14ac:dyDescent="0.15">
      <c r="B16" s="53"/>
      <c r="C16" s="4"/>
    </row>
    <row r="17" spans="1:19" x14ac:dyDescent="0.15">
      <c r="A17" s="6"/>
      <c r="B17" s="46"/>
    </row>
    <row r="18" spans="1:19" ht="16" x14ac:dyDescent="0.2">
      <c r="B18" s="86" t="s">
        <v>106</v>
      </c>
      <c r="C18" s="87"/>
      <c r="D18" s="87"/>
      <c r="E18" s="87"/>
      <c r="F18" s="87"/>
      <c r="G18" s="87"/>
      <c r="H18" s="87"/>
      <c r="I18" s="87"/>
      <c r="L18" s="89" t="s">
        <v>107</v>
      </c>
      <c r="M18" s="88"/>
      <c r="N18" s="88"/>
      <c r="O18" s="88"/>
      <c r="P18" s="88"/>
      <c r="Q18" s="88"/>
      <c r="R18" s="88"/>
      <c r="S18" s="88"/>
    </row>
    <row r="19" spans="1:19" x14ac:dyDescent="0.15">
      <c r="A19" s="16"/>
      <c r="B19" s="16" t="s">
        <v>105</v>
      </c>
      <c r="L19" s="16" t="s">
        <v>105</v>
      </c>
    </row>
    <row r="20" spans="1:19" ht="39" x14ac:dyDescent="0.15">
      <c r="B20" s="42" t="s">
        <v>64</v>
      </c>
      <c r="C20" s="43"/>
      <c r="D20" s="43" t="s">
        <v>21</v>
      </c>
      <c r="E20" s="64" t="s">
        <v>87</v>
      </c>
      <c r="F20" s="18" t="s">
        <v>88</v>
      </c>
      <c r="G20" s="18"/>
      <c r="H20" s="19"/>
      <c r="L20" s="42" t="s">
        <v>64</v>
      </c>
      <c r="M20" s="43"/>
      <c r="N20" s="43" t="s">
        <v>108</v>
      </c>
      <c r="O20" s="64" t="s">
        <v>87</v>
      </c>
      <c r="P20" s="18" t="s">
        <v>88</v>
      </c>
      <c r="Q20" s="18"/>
      <c r="R20" s="19"/>
    </row>
    <row r="21" spans="1:19" x14ac:dyDescent="0.15">
      <c r="B21" s="17" t="s">
        <v>19</v>
      </c>
      <c r="C21" s="4"/>
      <c r="D21" s="70">
        <v>5400</v>
      </c>
      <c r="L21" s="17" t="s">
        <v>19</v>
      </c>
      <c r="M21" s="4"/>
      <c r="N21" s="70">
        <v>231.37</v>
      </c>
    </row>
    <row r="22" spans="1:19" x14ac:dyDescent="0.15">
      <c r="B22" s="17" t="s">
        <v>18</v>
      </c>
      <c r="C22" s="4"/>
      <c r="D22" s="70">
        <v>5400</v>
      </c>
      <c r="E22" s="47">
        <v>7.0000000000000007E-2</v>
      </c>
      <c r="F22" s="67">
        <f>D22*(1-E22)</f>
        <v>5022</v>
      </c>
      <c r="L22" s="17" t="s">
        <v>18</v>
      </c>
      <c r="M22" s="4"/>
      <c r="N22" s="70">
        <v>181.65</v>
      </c>
      <c r="O22" s="47">
        <v>0</v>
      </c>
      <c r="P22" s="67">
        <f>N22*(1-O22)</f>
        <v>181.65</v>
      </c>
    </row>
    <row r="23" spans="1:19" x14ac:dyDescent="0.15">
      <c r="B23" s="17" t="s">
        <v>20</v>
      </c>
      <c r="C23" s="3"/>
      <c r="D23" s="70">
        <f t="shared" ref="D23" si="1">C23*10.7639150511824</f>
        <v>0</v>
      </c>
      <c r="L23" s="17" t="s">
        <v>20</v>
      </c>
      <c r="M23" s="3"/>
      <c r="N23" s="70">
        <v>49.71</v>
      </c>
    </row>
    <row r="24" spans="1:19" x14ac:dyDescent="0.15">
      <c r="C24" s="3"/>
      <c r="D24" s="5"/>
      <c r="M24" s="3"/>
      <c r="N24" s="5"/>
    </row>
    <row r="25" spans="1:19" x14ac:dyDescent="0.15">
      <c r="A25" s="104" t="s">
        <v>29</v>
      </c>
      <c r="B25" s="56" t="s">
        <v>100</v>
      </c>
      <c r="C25" s="80"/>
      <c r="D25" s="81"/>
      <c r="E25" s="57"/>
      <c r="F25" s="57"/>
      <c r="G25" s="57"/>
      <c r="H25" s="58"/>
      <c r="K25" s="104" t="s">
        <v>29</v>
      </c>
      <c r="L25" s="56" t="s">
        <v>100</v>
      </c>
      <c r="M25" s="80"/>
      <c r="N25" s="81"/>
      <c r="O25" s="57"/>
      <c r="P25" s="57"/>
      <c r="Q25" s="57"/>
      <c r="R25" s="58"/>
    </row>
    <row r="26" spans="1:19" x14ac:dyDescent="0.15">
      <c r="A26" s="6"/>
      <c r="B26" s="59" t="s">
        <v>80</v>
      </c>
      <c r="C26" s="60">
        <f>$C$10</f>
        <v>5.8</v>
      </c>
      <c r="D26" s="60" t="s">
        <v>78</v>
      </c>
      <c r="E26" s="60"/>
      <c r="F26" s="60"/>
      <c r="G26" s="60"/>
      <c r="H26" s="61"/>
      <c r="K26" s="6"/>
      <c r="L26" s="59" t="s">
        <v>80</v>
      </c>
      <c r="M26" s="92">
        <f>$D$10</f>
        <v>18.296629818197463</v>
      </c>
      <c r="N26" s="60" t="s">
        <v>109</v>
      </c>
      <c r="O26" s="60"/>
      <c r="P26" s="60"/>
      <c r="Q26" s="60"/>
      <c r="R26" s="61"/>
    </row>
    <row r="27" spans="1:19" x14ac:dyDescent="0.15">
      <c r="A27" s="6"/>
      <c r="B27" s="59" t="s">
        <v>81</v>
      </c>
      <c r="C27" s="60">
        <f>$C$11</f>
        <v>4.3</v>
      </c>
      <c r="D27" s="60" t="s">
        <v>78</v>
      </c>
      <c r="E27" s="60"/>
      <c r="F27" s="60"/>
      <c r="G27" s="60"/>
      <c r="H27" s="61"/>
      <c r="K27" s="6"/>
      <c r="L27" s="59" t="s">
        <v>81</v>
      </c>
      <c r="M27" s="92">
        <f>$D$11</f>
        <v>13.564742796249842</v>
      </c>
      <c r="N27" s="60" t="s">
        <v>109</v>
      </c>
      <c r="O27" s="60"/>
      <c r="P27" s="60"/>
      <c r="Q27" s="60"/>
      <c r="R27" s="61"/>
    </row>
    <row r="28" spans="1:19" ht="38.5" customHeight="1" x14ac:dyDescent="0.15">
      <c r="A28" s="6"/>
      <c r="B28" s="50" t="s">
        <v>92</v>
      </c>
      <c r="C28" s="20" t="s">
        <v>90</v>
      </c>
      <c r="D28" s="20" t="s">
        <v>27</v>
      </c>
      <c r="E28" s="20" t="s">
        <v>26</v>
      </c>
      <c r="F28" s="20"/>
      <c r="G28" s="20" t="s">
        <v>85</v>
      </c>
      <c r="K28" s="6"/>
      <c r="L28" s="50" t="s">
        <v>92</v>
      </c>
      <c r="M28" s="20" t="s">
        <v>90</v>
      </c>
      <c r="N28" s="20"/>
      <c r="O28" s="20" t="s">
        <v>109</v>
      </c>
      <c r="P28" s="20"/>
      <c r="Q28" s="20" t="s">
        <v>85</v>
      </c>
    </row>
    <row r="29" spans="1:19" x14ac:dyDescent="0.15">
      <c r="A29" s="6"/>
      <c r="B29" s="23" t="s">
        <v>89</v>
      </c>
      <c r="C29" s="75">
        <v>8225</v>
      </c>
      <c r="D29" s="100">
        <f>C29*3.4121416331</f>
        <v>28064.864932247499</v>
      </c>
      <c r="E29" s="20"/>
      <c r="G29" s="20"/>
      <c r="K29" s="6"/>
      <c r="L29" s="23" t="s">
        <v>89</v>
      </c>
      <c r="M29" s="75">
        <v>1418.94</v>
      </c>
      <c r="N29" s="84"/>
      <c r="O29" s="20"/>
      <c r="Q29" s="20"/>
    </row>
    <row r="30" spans="1:19" x14ac:dyDescent="0.15">
      <c r="A30" s="6"/>
      <c r="B30" s="6" t="s">
        <v>24</v>
      </c>
      <c r="C30" s="75">
        <v>1361</v>
      </c>
      <c r="D30" s="100">
        <f t="shared" ref="D30:D31" si="2">C30*3.4121416331</f>
        <v>4643.9247626490996</v>
      </c>
      <c r="E30" s="68">
        <f>((D30/(D30+D31))*$D$29+D30)/$F$22</f>
        <v>1.4930759946410521</v>
      </c>
      <c r="F30" s="8" t="str">
        <f>IF(E30&lt;=C26,"Pass","Fail")</f>
        <v>Pass</v>
      </c>
      <c r="G30" s="13">
        <f>E30-C26</f>
        <v>-4.3069240053589475</v>
      </c>
      <c r="I30" s="93">
        <f>E30/$E$32</f>
        <v>0.10170378119862503</v>
      </c>
      <c r="K30" s="6"/>
      <c r="L30" s="6" t="s">
        <v>24</v>
      </c>
      <c r="M30" s="75">
        <v>1185.6600000000001</v>
      </c>
      <c r="N30" s="84"/>
      <c r="O30" s="68">
        <f>((M30/(M30+M31))*$M$29+M30)/$P$22</f>
        <v>10.354520963306099</v>
      </c>
      <c r="P30" s="8" t="str">
        <f>IF(O30&lt;=M26,"Pass","Fail")</f>
        <v>Pass</v>
      </c>
      <c r="Q30" s="13">
        <f>O30-M26</f>
        <v>-7.9421088548913641</v>
      </c>
      <c r="S30" s="93">
        <f>O30/$O$32</f>
        <v>0.48997049416081928</v>
      </c>
    </row>
    <row r="31" spans="1:19" x14ac:dyDescent="0.15">
      <c r="A31" s="6"/>
      <c r="B31" s="7" t="s">
        <v>25</v>
      </c>
      <c r="C31" s="76">
        <v>12021</v>
      </c>
      <c r="D31" s="101">
        <f t="shared" si="2"/>
        <v>41017.354571495103</v>
      </c>
      <c r="E31" s="69">
        <f>((D31/(D31+D30))*$D$29+D31)/$F$22</f>
        <v>13.18755806875833</v>
      </c>
      <c r="F31" s="63" t="str">
        <f>IF(E31&lt;=C27,"Pass","Fail")</f>
        <v>Fail</v>
      </c>
      <c r="G31" s="14">
        <f>E31-C27</f>
        <v>8.8875580687583309</v>
      </c>
      <c r="H31" s="11"/>
      <c r="I31" s="93">
        <f>E31/$E$32</f>
        <v>0.898296218801375</v>
      </c>
      <c r="K31" s="6"/>
      <c r="L31" s="7" t="s">
        <v>25</v>
      </c>
      <c r="M31" s="76">
        <v>1234.2</v>
      </c>
      <c r="N31" s="85"/>
      <c r="O31" s="69">
        <f>((M31/(M31+M30))*$M$29+M31)/$P$22</f>
        <v>10.778427013572513</v>
      </c>
      <c r="P31" s="63" t="str">
        <f>IF(O31&lt;=M27,"Pass","Fail")</f>
        <v>Pass</v>
      </c>
      <c r="Q31" s="14">
        <f>O31-M27</f>
        <v>-2.7863157826773293</v>
      </c>
      <c r="R31" s="11"/>
      <c r="S31" s="93">
        <f>O31/$O$32</f>
        <v>0.51002950583918072</v>
      </c>
    </row>
    <row r="32" spans="1:19" x14ac:dyDescent="0.15">
      <c r="A32" s="6"/>
      <c r="C32" s="3"/>
      <c r="D32" s="62" t="s">
        <v>82</v>
      </c>
      <c r="E32" s="48">
        <f>SUM(E30:E31)</f>
        <v>14.680634063399381</v>
      </c>
      <c r="F32" s="48"/>
      <c r="K32" s="6"/>
      <c r="M32" s="3"/>
      <c r="N32" s="62" t="s">
        <v>82</v>
      </c>
      <c r="O32" s="48">
        <f>SUM(O30:O31)</f>
        <v>21.132947976878611</v>
      </c>
      <c r="P32" s="48"/>
    </row>
    <row r="33" spans="1:19" x14ac:dyDescent="0.15">
      <c r="A33" s="6"/>
      <c r="D33" s="6"/>
      <c r="E33" s="13"/>
      <c r="K33" s="6"/>
      <c r="N33" s="6"/>
      <c r="O33" s="13"/>
    </row>
    <row r="34" spans="1:19" x14ac:dyDescent="0.15">
      <c r="A34" s="6"/>
      <c r="B34" s="56" t="s">
        <v>101</v>
      </c>
      <c r="C34" s="57"/>
      <c r="D34" s="82"/>
      <c r="E34" s="83"/>
      <c r="F34" s="57"/>
      <c r="G34" s="57"/>
      <c r="H34" s="58"/>
      <c r="K34" s="6"/>
      <c r="L34" s="56" t="s">
        <v>101</v>
      </c>
      <c r="M34" s="57"/>
      <c r="N34" s="82"/>
      <c r="O34" s="83"/>
      <c r="P34" s="57"/>
      <c r="Q34" s="57"/>
      <c r="R34" s="58"/>
    </row>
    <row r="35" spans="1:19" x14ac:dyDescent="0.15">
      <c r="A35" s="6"/>
      <c r="B35" s="59" t="s">
        <v>83</v>
      </c>
      <c r="C35" s="60">
        <f>$C$12</f>
        <v>5</v>
      </c>
      <c r="D35" s="60" t="s">
        <v>79</v>
      </c>
      <c r="E35" s="60"/>
      <c r="F35" s="60"/>
      <c r="G35" s="60"/>
      <c r="H35" s="61"/>
      <c r="K35" s="6"/>
      <c r="L35" s="59" t="s">
        <v>83</v>
      </c>
      <c r="M35" s="92">
        <f>$D$12</f>
        <v>15.7729567398254</v>
      </c>
      <c r="N35" s="60" t="s">
        <v>110</v>
      </c>
      <c r="O35" s="60"/>
      <c r="P35" s="60"/>
      <c r="Q35" s="60"/>
      <c r="R35" s="61"/>
    </row>
    <row r="36" spans="1:19" x14ac:dyDescent="0.15">
      <c r="A36" s="6"/>
      <c r="B36" s="59" t="s">
        <v>84</v>
      </c>
      <c r="C36" s="60">
        <f>$C$13</f>
        <v>4.4000000000000004</v>
      </c>
      <c r="D36" s="60" t="s">
        <v>79</v>
      </c>
      <c r="E36" s="60"/>
      <c r="F36" s="60"/>
      <c r="G36" s="60"/>
      <c r="H36" s="61"/>
      <c r="K36" s="6"/>
      <c r="L36" s="59" t="s">
        <v>84</v>
      </c>
      <c r="M36" s="92">
        <f>$D$13</f>
        <v>13.880201931046352</v>
      </c>
      <c r="N36" s="60" t="s">
        <v>110</v>
      </c>
      <c r="O36" s="60"/>
      <c r="P36" s="60"/>
      <c r="Q36" s="60"/>
      <c r="R36" s="61"/>
    </row>
    <row r="37" spans="1:19" ht="40" x14ac:dyDescent="0.15">
      <c r="A37" s="6"/>
      <c r="B37" s="50" t="s">
        <v>103</v>
      </c>
      <c r="C37" s="20" t="s">
        <v>95</v>
      </c>
      <c r="D37" s="20" t="s">
        <v>91</v>
      </c>
      <c r="E37" s="20" t="s">
        <v>31</v>
      </c>
      <c r="F37" s="20" t="s">
        <v>32</v>
      </c>
      <c r="H37" s="20" t="s">
        <v>85</v>
      </c>
      <c r="K37" s="6"/>
      <c r="L37" s="50" t="s">
        <v>103</v>
      </c>
      <c r="M37" s="20" t="s">
        <v>95</v>
      </c>
      <c r="N37" s="20" t="s">
        <v>91</v>
      </c>
      <c r="O37" s="20"/>
      <c r="P37" s="20" t="s">
        <v>110</v>
      </c>
      <c r="R37" s="20" t="s">
        <v>85</v>
      </c>
    </row>
    <row r="38" spans="1:19" x14ac:dyDescent="0.15">
      <c r="A38" s="6"/>
      <c r="B38" s="6" t="s">
        <v>99</v>
      </c>
      <c r="C38" s="71" t="s">
        <v>96</v>
      </c>
      <c r="D38" s="77">
        <v>0</v>
      </c>
      <c r="E38" s="24">
        <f>(D38+D39)*3412.142</f>
        <v>0</v>
      </c>
      <c r="F38" s="74">
        <f>E38/$F$22</f>
        <v>0</v>
      </c>
      <c r="G38" s="8" t="str">
        <f>IF(F38&lt;=C35,"Pass","Fail")</f>
        <v>Pass</v>
      </c>
      <c r="H38" s="13">
        <f>F38-C35</f>
        <v>-5</v>
      </c>
      <c r="K38" s="6"/>
      <c r="L38" s="6" t="s">
        <v>99</v>
      </c>
      <c r="M38" s="71" t="s">
        <v>128</v>
      </c>
      <c r="N38" s="77">
        <v>0.71450000000000002</v>
      </c>
      <c r="O38" s="12"/>
      <c r="P38" s="74">
        <f>((N38+N39)*1000)/$P$22</f>
        <v>4.7250206440957889</v>
      </c>
      <c r="Q38" s="8" t="str">
        <f>IF(P38&lt;=M35,"Pass","Fail")</f>
        <v>Pass</v>
      </c>
      <c r="R38" s="13">
        <f>P38-M35</f>
        <v>-11.047936095729611</v>
      </c>
    </row>
    <row r="39" spans="1:19" x14ac:dyDescent="0.15">
      <c r="A39" s="6"/>
      <c r="B39" s="23" t="s">
        <v>93</v>
      </c>
      <c r="C39" s="72"/>
      <c r="D39" s="77"/>
      <c r="E39" s="12"/>
      <c r="F39" s="68"/>
      <c r="H39" s="20"/>
      <c r="K39" s="6"/>
      <c r="L39" s="23" t="s">
        <v>93</v>
      </c>
      <c r="M39" s="72"/>
      <c r="N39" s="77">
        <v>0.14380000000000001</v>
      </c>
      <c r="O39" s="12"/>
      <c r="P39" s="68"/>
      <c r="R39" s="20"/>
    </row>
    <row r="40" spans="1:19" x14ac:dyDescent="0.15">
      <c r="A40" s="6"/>
      <c r="B40" s="23" t="s">
        <v>98</v>
      </c>
      <c r="C40" s="72" t="s">
        <v>97</v>
      </c>
      <c r="D40" s="78">
        <v>5.8879000000000001</v>
      </c>
      <c r="E40" s="24">
        <f>(D40+D41)*3412.142</f>
        <v>23174.2448214</v>
      </c>
      <c r="F40" s="74">
        <f>E40/$F$22</f>
        <v>4.6145449664277178</v>
      </c>
      <c r="G40" s="40" t="str">
        <f>IF(F40&lt;=C36,"Pass","Fail")</f>
        <v>Fail</v>
      </c>
      <c r="H40" s="66">
        <f>F40-C36</f>
        <v>0.21454496642771748</v>
      </c>
      <c r="I40" s="93">
        <f>H40/F40</f>
        <v>4.6493200952336652E-2</v>
      </c>
      <c r="K40" s="6"/>
      <c r="L40" s="23" t="s">
        <v>98</v>
      </c>
      <c r="M40" s="72" t="s">
        <v>126</v>
      </c>
      <c r="N40" s="78">
        <v>0.80189999999999995</v>
      </c>
      <c r="O40" s="24"/>
      <c r="P40" s="74">
        <f>((N40+N41)*1000)/$P$22</f>
        <v>5.2061657032755297</v>
      </c>
      <c r="Q40" s="40" t="str">
        <f>IF(P40&lt;=M36,"Pass","Fail")</f>
        <v>Pass</v>
      </c>
      <c r="R40" s="66">
        <f>P40-M36</f>
        <v>-8.6740362277708236</v>
      </c>
      <c r="S40" s="93">
        <f>R40/P40</f>
        <v>-1.6661083649937296</v>
      </c>
    </row>
    <row r="41" spans="1:19" x14ac:dyDescent="0.15">
      <c r="A41" s="6"/>
      <c r="B41" s="7" t="s">
        <v>94</v>
      </c>
      <c r="C41" s="73"/>
      <c r="D41" s="79">
        <v>0.90380000000000005</v>
      </c>
      <c r="E41" s="11"/>
      <c r="F41" s="94"/>
      <c r="G41" s="94"/>
      <c r="H41" s="94"/>
      <c r="I41" s="93">
        <f>F41/C36</f>
        <v>0</v>
      </c>
      <c r="K41" s="6"/>
      <c r="L41" s="96" t="s">
        <v>94</v>
      </c>
      <c r="M41" s="97"/>
      <c r="N41" s="98">
        <v>0.14380000000000001</v>
      </c>
      <c r="O41" s="94"/>
      <c r="P41" s="99"/>
      <c r="Q41" s="11"/>
      <c r="R41" s="11"/>
      <c r="S41" s="93">
        <f>P41/M36</f>
        <v>0</v>
      </c>
    </row>
    <row r="42" spans="1:19" x14ac:dyDescent="0.15">
      <c r="A42" s="6"/>
      <c r="C42" s="65"/>
      <c r="D42" s="24"/>
      <c r="E42" s="66"/>
      <c r="F42" s="40"/>
      <c r="G42" s="66"/>
      <c r="K42" s="6"/>
      <c r="M42" s="65"/>
      <c r="N42" s="24"/>
      <c r="O42" s="66"/>
      <c r="P42" s="40"/>
      <c r="Q42" s="66"/>
    </row>
    <row r="43" spans="1:19" x14ac:dyDescent="0.15">
      <c r="A43" s="6"/>
      <c r="C43" s="3"/>
      <c r="D43" s="3"/>
      <c r="E43" s="48"/>
      <c r="K43" s="6"/>
      <c r="M43" s="3"/>
      <c r="N43" s="3"/>
      <c r="O43" s="48"/>
    </row>
    <row r="44" spans="1:19" x14ac:dyDescent="0.15">
      <c r="A44" s="6"/>
      <c r="D44" s="6"/>
      <c r="E44" s="13"/>
      <c r="K44" s="6"/>
      <c r="N44" s="6"/>
      <c r="O44" s="13"/>
    </row>
    <row r="45" spans="1:19" s="10" customFormat="1" ht="26" x14ac:dyDescent="0.15">
      <c r="A45" s="105" t="s">
        <v>30</v>
      </c>
      <c r="J45" s="106"/>
      <c r="K45" s="105" t="s">
        <v>30</v>
      </c>
    </row>
    <row r="46" spans="1:19" s="10" customFormat="1" x14ac:dyDescent="0.15">
      <c r="A46" s="9"/>
      <c r="J46" s="106"/>
    </row>
    <row r="47" spans="1:19" x14ac:dyDescent="0.15">
      <c r="B47" s="56" t="s">
        <v>28</v>
      </c>
      <c r="C47" s="57"/>
      <c r="D47" s="57"/>
      <c r="E47" s="57"/>
      <c r="F47" s="57"/>
      <c r="G47" s="57"/>
      <c r="H47" s="58"/>
      <c r="I47" s="58"/>
      <c r="J47" s="107"/>
      <c r="L47" s="56" t="s">
        <v>28</v>
      </c>
      <c r="M47" s="57"/>
      <c r="N47" s="57"/>
      <c r="O47" s="57"/>
      <c r="P47" s="57"/>
      <c r="Q47" s="57"/>
      <c r="R47" s="58"/>
      <c r="S47" s="58"/>
    </row>
    <row r="48" spans="1:19" x14ac:dyDescent="0.15">
      <c r="F48" s="2" t="s">
        <v>4</v>
      </c>
      <c r="P48" s="2" t="s">
        <v>4</v>
      </c>
    </row>
    <row r="49" spans="2:19" ht="30" customHeight="1" x14ac:dyDescent="0.2">
      <c r="B49" s="110" t="s">
        <v>104</v>
      </c>
      <c r="C49" s="111"/>
      <c r="F49" s="22" t="s">
        <v>58</v>
      </c>
      <c r="G49" s="22"/>
      <c r="H49" s="36" t="s">
        <v>3</v>
      </c>
      <c r="I49" s="51" t="s">
        <v>65</v>
      </c>
      <c r="J49" s="108"/>
      <c r="K49" s="10"/>
      <c r="L49" s="110" t="s">
        <v>104</v>
      </c>
      <c r="M49" s="111"/>
      <c r="P49" s="22" t="s">
        <v>58</v>
      </c>
      <c r="Q49" s="22"/>
      <c r="R49" s="36" t="s">
        <v>3</v>
      </c>
      <c r="S49" s="51" t="s">
        <v>65</v>
      </c>
    </row>
    <row r="50" spans="2:19" ht="39" x14ac:dyDescent="0.15">
      <c r="B50" s="11"/>
      <c r="C50" s="15" t="s">
        <v>27</v>
      </c>
      <c r="D50" s="21" t="s">
        <v>66</v>
      </c>
      <c r="E50" s="21" t="s">
        <v>2</v>
      </c>
      <c r="F50" s="21" t="s">
        <v>22</v>
      </c>
      <c r="G50" s="21" t="s">
        <v>37</v>
      </c>
      <c r="H50" s="11" t="s">
        <v>61</v>
      </c>
      <c r="K50" s="10"/>
      <c r="L50" s="11"/>
      <c r="M50" s="15" t="s">
        <v>111</v>
      </c>
      <c r="N50" s="21" t="s">
        <v>112</v>
      </c>
      <c r="O50" s="21" t="s">
        <v>2</v>
      </c>
      <c r="P50" s="21" t="s">
        <v>113</v>
      </c>
      <c r="Q50" s="21" t="s">
        <v>114</v>
      </c>
      <c r="R50" s="11" t="s">
        <v>61</v>
      </c>
    </row>
    <row r="51" spans="2:19" x14ac:dyDescent="0.15">
      <c r="B51" s="6" t="s">
        <v>5</v>
      </c>
      <c r="C51" s="75">
        <v>198510.8</v>
      </c>
      <c r="D51" s="44">
        <f>C51/$F$22</f>
        <v>39.528235762644364</v>
      </c>
      <c r="E51" s="3">
        <f>INDEX('lookup lists'!$E$3:$G$19,MATCH('PH Analysis'!B51,'lookup lists'!$D$3:$D$19,0),MATCH('PH Analysis'!$H$49,'lookup lists'!$E$2:$G$2,0))</f>
        <v>2.7</v>
      </c>
      <c r="F51" s="12">
        <f t="shared" ref="F51:F65" si="3">C51*E51</f>
        <v>535979.16</v>
      </c>
      <c r="G51" s="44">
        <f>F51/$F$22</f>
        <v>106.72623655913979</v>
      </c>
      <c r="H51" s="41" t="s">
        <v>60</v>
      </c>
      <c r="L51" s="6" t="s">
        <v>5</v>
      </c>
      <c r="M51" s="75">
        <v>8067</v>
      </c>
      <c r="N51" s="44">
        <f>M51/$P$22</f>
        <v>44.409578860445912</v>
      </c>
      <c r="O51" s="3">
        <f>INDEX('lookup lists'!$E$3:$G$19,MATCH('PH Analysis'!L51,'lookup lists'!$D$3:$D$19,0),MATCH('PH Analysis'!$R$49,'lookup lists'!$E$2:$G$2,0))</f>
        <v>2.7</v>
      </c>
      <c r="P51" s="12">
        <f t="shared" ref="P51:P65" si="4">M51*O51</f>
        <v>21780.9</v>
      </c>
      <c r="Q51" s="44">
        <f>P51/$P$22</f>
        <v>119.90586292320397</v>
      </c>
      <c r="R51" s="41" t="s">
        <v>60</v>
      </c>
    </row>
    <row r="52" spans="2:19" x14ac:dyDescent="0.15">
      <c r="B52" s="6" t="s">
        <v>6</v>
      </c>
      <c r="C52" s="75">
        <v>9800</v>
      </c>
      <c r="D52" s="44">
        <f t="shared" ref="D52:D65" si="5">C52/$F$22</f>
        <v>1.9514137793707687</v>
      </c>
      <c r="E52" s="3">
        <f>INDEX('lookup lists'!$E$3:$G$19,MATCH('PH Analysis'!B52,'lookup lists'!$D$3:$D$19,0),MATCH('PH Analysis'!$H$49,'lookup lists'!$E$2:$G$2,0))</f>
        <v>1.1000000000000001</v>
      </c>
      <c r="F52" s="12">
        <f t="shared" si="3"/>
        <v>10780</v>
      </c>
      <c r="G52" s="44">
        <f t="shared" ref="G52:G65" si="6">F52/$F$22</f>
        <v>2.1465551573078456</v>
      </c>
      <c r="L52" s="6" t="s">
        <v>6</v>
      </c>
      <c r="M52" s="75">
        <v>0</v>
      </c>
      <c r="N52" s="44">
        <f t="shared" ref="N52:N65" si="7">M52/$P$22</f>
        <v>0</v>
      </c>
      <c r="O52" s="3">
        <f>INDEX('lookup lists'!$E$3:$G$19,MATCH('PH Analysis'!L52,'lookup lists'!$D$3:$D$19,0),MATCH('PH Analysis'!$R$49,'lookup lists'!$E$2:$G$2,0))</f>
        <v>1.1000000000000001</v>
      </c>
      <c r="P52" s="12">
        <f t="shared" si="4"/>
        <v>0</v>
      </c>
      <c r="Q52" s="44">
        <f t="shared" ref="Q52:Q65" si="8">P52/$P$22</f>
        <v>0</v>
      </c>
    </row>
    <row r="53" spans="2:19" x14ac:dyDescent="0.15">
      <c r="B53" s="6" t="s">
        <v>7</v>
      </c>
      <c r="C53" s="75">
        <v>0</v>
      </c>
      <c r="D53" s="44">
        <f t="shared" si="5"/>
        <v>0</v>
      </c>
      <c r="E53" s="3">
        <f>INDEX('lookup lists'!$E$3:$G$19,MATCH('PH Analysis'!B53,'lookup lists'!$D$3:$D$19,0),MATCH('PH Analysis'!$H$49,'lookup lists'!$E$2:$G$2,0))</f>
        <v>1.056</v>
      </c>
      <c r="F53" s="12">
        <f t="shared" si="3"/>
        <v>0</v>
      </c>
      <c r="G53" s="44">
        <f t="shared" si="6"/>
        <v>0</v>
      </c>
      <c r="L53" s="6" t="s">
        <v>7</v>
      </c>
      <c r="M53" s="75">
        <f t="shared" ref="M53:M65" si="9">0.293071*C53</f>
        <v>0</v>
      </c>
      <c r="N53" s="44">
        <f t="shared" si="7"/>
        <v>0</v>
      </c>
      <c r="O53" s="3">
        <f>INDEX('lookup lists'!$E$3:$G$19,MATCH('PH Analysis'!L53,'lookup lists'!$D$3:$D$19,0),MATCH('PH Analysis'!$R$49,'lookup lists'!$E$2:$G$2,0))</f>
        <v>1.056</v>
      </c>
      <c r="P53" s="12">
        <f t="shared" si="4"/>
        <v>0</v>
      </c>
      <c r="Q53" s="44">
        <f t="shared" si="8"/>
        <v>0</v>
      </c>
    </row>
    <row r="54" spans="2:19" x14ac:dyDescent="0.15">
      <c r="B54" s="6" t="s">
        <v>8</v>
      </c>
      <c r="C54" s="75">
        <v>0</v>
      </c>
      <c r="D54" s="44">
        <f t="shared" si="5"/>
        <v>0</v>
      </c>
      <c r="E54" s="3">
        <f>INDEX('lookup lists'!$E$3:$G$19,MATCH('PH Analysis'!B54,'lookup lists'!$D$3:$D$19,0),MATCH('PH Analysis'!$H$49,'lookup lists'!$E$2:$G$2,0))</f>
        <v>1.1000000000000001</v>
      </c>
      <c r="F54" s="12">
        <f t="shared" si="3"/>
        <v>0</v>
      </c>
      <c r="G54" s="44">
        <f t="shared" si="6"/>
        <v>0</v>
      </c>
      <c r="L54" s="6" t="s">
        <v>8</v>
      </c>
      <c r="M54" s="75">
        <f t="shared" si="9"/>
        <v>0</v>
      </c>
      <c r="N54" s="44">
        <f t="shared" si="7"/>
        <v>0</v>
      </c>
      <c r="O54" s="3">
        <f>INDEX('lookup lists'!$E$3:$G$19,MATCH('PH Analysis'!L54,'lookup lists'!$D$3:$D$19,0),MATCH('PH Analysis'!$R$49,'lookup lists'!$E$2:$G$2,0))</f>
        <v>1.1000000000000001</v>
      </c>
      <c r="P54" s="12">
        <f t="shared" si="4"/>
        <v>0</v>
      </c>
      <c r="Q54" s="44">
        <f t="shared" si="8"/>
        <v>0</v>
      </c>
    </row>
    <row r="55" spans="2:19" x14ac:dyDescent="0.15">
      <c r="B55" s="6" t="s">
        <v>9</v>
      </c>
      <c r="C55" s="75">
        <v>0</v>
      </c>
      <c r="D55" s="44">
        <f t="shared" si="5"/>
        <v>0</v>
      </c>
      <c r="E55" s="3">
        <f>INDEX('lookup lists'!$E$3:$G$19,MATCH('PH Analysis'!B55,'lookup lists'!$D$3:$D$19,0),MATCH('PH Analysis'!$H$49,'lookup lists'!$E$2:$G$2,0))</f>
        <v>0.3</v>
      </c>
      <c r="F55" s="12">
        <f t="shared" si="3"/>
        <v>0</v>
      </c>
      <c r="G55" s="44">
        <f t="shared" si="6"/>
        <v>0</v>
      </c>
      <c r="L55" s="6" t="s">
        <v>9</v>
      </c>
      <c r="M55" s="75">
        <f t="shared" si="9"/>
        <v>0</v>
      </c>
      <c r="N55" s="44">
        <f t="shared" si="7"/>
        <v>0</v>
      </c>
      <c r="O55" s="3">
        <f>INDEX('lookup lists'!$E$3:$G$19,MATCH('PH Analysis'!L55,'lookup lists'!$D$3:$D$19,0),MATCH('PH Analysis'!$R$49,'lookup lists'!$E$2:$G$2,0))</f>
        <v>0.3</v>
      </c>
      <c r="P55" s="12">
        <f t="shared" si="4"/>
        <v>0</v>
      </c>
      <c r="Q55" s="44">
        <f t="shared" si="8"/>
        <v>0</v>
      </c>
    </row>
    <row r="56" spans="2:19" x14ac:dyDescent="0.15">
      <c r="B56" s="6" t="s">
        <v>10</v>
      </c>
      <c r="C56" s="75">
        <v>0</v>
      </c>
      <c r="D56" s="44">
        <f t="shared" si="5"/>
        <v>0</v>
      </c>
      <c r="E56" s="3">
        <f>INDEX('lookup lists'!$E$3:$G$19,MATCH('PH Analysis'!B56,'lookup lists'!$D$3:$D$19,0),MATCH('PH Analysis'!$H$49,'lookup lists'!$E$2:$G$2,0))</f>
        <v>1.05</v>
      </c>
      <c r="F56" s="12">
        <f t="shared" si="3"/>
        <v>0</v>
      </c>
      <c r="G56" s="44">
        <f t="shared" si="6"/>
        <v>0</v>
      </c>
      <c r="L56" s="6" t="s">
        <v>10</v>
      </c>
      <c r="M56" s="75">
        <f t="shared" si="9"/>
        <v>0</v>
      </c>
      <c r="N56" s="44">
        <f t="shared" si="7"/>
        <v>0</v>
      </c>
      <c r="O56" s="3">
        <f>INDEX('lookup lists'!$E$3:$G$19,MATCH('PH Analysis'!L56,'lookup lists'!$D$3:$D$19,0),MATCH('PH Analysis'!$R$49,'lookup lists'!$E$2:$G$2,0))</f>
        <v>1.05</v>
      </c>
      <c r="P56" s="12">
        <f t="shared" si="4"/>
        <v>0</v>
      </c>
      <c r="Q56" s="44">
        <f t="shared" si="8"/>
        <v>0</v>
      </c>
    </row>
    <row r="57" spans="2:19" x14ac:dyDescent="0.15">
      <c r="B57" s="6" t="s">
        <v>11</v>
      </c>
      <c r="C57" s="75">
        <v>0</v>
      </c>
      <c r="D57" s="44">
        <f t="shared" si="5"/>
        <v>0</v>
      </c>
      <c r="E57" s="3">
        <f>INDEX('lookup lists'!$E$3:$G$19,MATCH('PH Analysis'!B57,'lookup lists'!$D$3:$D$19,0),MATCH('PH Analysis'!$H$49,'lookup lists'!$E$2:$G$2,0))</f>
        <v>1.05</v>
      </c>
      <c r="F57" s="12">
        <f t="shared" si="3"/>
        <v>0</v>
      </c>
      <c r="G57" s="44">
        <f t="shared" si="6"/>
        <v>0</v>
      </c>
      <c r="L57" s="6" t="s">
        <v>11</v>
      </c>
      <c r="M57" s="75">
        <f t="shared" si="9"/>
        <v>0</v>
      </c>
      <c r="N57" s="44">
        <f t="shared" si="7"/>
        <v>0</v>
      </c>
      <c r="O57" s="3">
        <f>INDEX('lookup lists'!$E$3:$G$19,MATCH('PH Analysis'!L57,'lookup lists'!$D$3:$D$19,0),MATCH('PH Analysis'!$R$49,'lookup lists'!$E$2:$G$2,0))</f>
        <v>1.05</v>
      </c>
      <c r="P57" s="12">
        <f t="shared" si="4"/>
        <v>0</v>
      </c>
      <c r="Q57" s="44">
        <f t="shared" si="8"/>
        <v>0</v>
      </c>
    </row>
    <row r="58" spans="2:19" x14ac:dyDescent="0.15">
      <c r="B58" s="6" t="s">
        <v>12</v>
      </c>
      <c r="C58" s="75">
        <v>0</v>
      </c>
      <c r="D58" s="44">
        <f t="shared" si="5"/>
        <v>0</v>
      </c>
      <c r="E58" s="3">
        <f>INDEX('lookup lists'!$E$3:$G$19,MATCH('PH Analysis'!B58,'lookup lists'!$D$3:$D$19,0),MATCH('PH Analysis'!$H$49,'lookup lists'!$E$2:$G$2,0))</f>
        <v>1.1000000000000001</v>
      </c>
      <c r="F58" s="12">
        <f t="shared" si="3"/>
        <v>0</v>
      </c>
      <c r="G58" s="44">
        <f t="shared" si="6"/>
        <v>0</v>
      </c>
      <c r="L58" s="6" t="s">
        <v>12</v>
      </c>
      <c r="M58" s="75">
        <f t="shared" si="9"/>
        <v>0</v>
      </c>
      <c r="N58" s="44">
        <f t="shared" si="7"/>
        <v>0</v>
      </c>
      <c r="O58" s="3">
        <f>INDEX('lookup lists'!$E$3:$G$19,MATCH('PH Analysis'!L58,'lookup lists'!$D$3:$D$19,0),MATCH('PH Analysis'!$R$49,'lookup lists'!$E$2:$G$2,0))</f>
        <v>1.1000000000000001</v>
      </c>
      <c r="P58" s="12">
        <f t="shared" si="4"/>
        <v>0</v>
      </c>
      <c r="Q58" s="44">
        <f t="shared" si="8"/>
        <v>0</v>
      </c>
    </row>
    <row r="59" spans="2:19" x14ac:dyDescent="0.15">
      <c r="B59" s="6" t="s">
        <v>13</v>
      </c>
      <c r="C59" s="75">
        <v>0</v>
      </c>
      <c r="D59" s="44">
        <f t="shared" si="5"/>
        <v>0</v>
      </c>
      <c r="E59" s="3">
        <f>INDEX('lookup lists'!$E$3:$G$19,MATCH('PH Analysis'!B59,'lookup lists'!$D$3:$D$19,0),MATCH('PH Analysis'!$H$49,'lookup lists'!$E$2:$G$2,0))</f>
        <v>1.1000000000000001</v>
      </c>
      <c r="F59" s="12">
        <f t="shared" si="3"/>
        <v>0</v>
      </c>
      <c r="G59" s="44">
        <f t="shared" si="6"/>
        <v>0</v>
      </c>
      <c r="L59" s="6" t="s">
        <v>13</v>
      </c>
      <c r="M59" s="75">
        <f t="shared" si="9"/>
        <v>0</v>
      </c>
      <c r="N59" s="44">
        <f t="shared" si="7"/>
        <v>0</v>
      </c>
      <c r="O59" s="3">
        <f>INDEX('lookup lists'!$E$3:$G$19,MATCH('PH Analysis'!L59,'lookup lists'!$D$3:$D$19,0),MATCH('PH Analysis'!$R$49,'lookup lists'!$E$2:$G$2,0))</f>
        <v>1.1000000000000001</v>
      </c>
      <c r="P59" s="12">
        <f t="shared" si="4"/>
        <v>0</v>
      </c>
      <c r="Q59" s="44">
        <f t="shared" si="8"/>
        <v>0</v>
      </c>
    </row>
    <row r="60" spans="2:19" x14ac:dyDescent="0.15">
      <c r="B60" s="6" t="s">
        <v>14</v>
      </c>
      <c r="C60" s="75">
        <v>0</v>
      </c>
      <c r="D60" s="44">
        <f t="shared" si="5"/>
        <v>0</v>
      </c>
      <c r="E60" s="3">
        <f>INDEX('lookup lists'!$E$3:$G$19,MATCH('PH Analysis'!B60,'lookup lists'!$D$3:$D$19,0),MATCH('PH Analysis'!$H$49,'lookup lists'!$E$2:$G$2,0))</f>
        <v>1.05</v>
      </c>
      <c r="F60" s="12">
        <f t="shared" si="3"/>
        <v>0</v>
      </c>
      <c r="G60" s="44">
        <f t="shared" si="6"/>
        <v>0</v>
      </c>
      <c r="L60" s="6" t="s">
        <v>14</v>
      </c>
      <c r="M60" s="75">
        <f t="shared" si="9"/>
        <v>0</v>
      </c>
      <c r="N60" s="44">
        <f t="shared" si="7"/>
        <v>0</v>
      </c>
      <c r="O60" s="3">
        <f>INDEX('lookup lists'!$E$3:$G$19,MATCH('PH Analysis'!L60,'lookup lists'!$D$3:$D$19,0),MATCH('PH Analysis'!$R$49,'lookup lists'!$E$2:$G$2,0))</f>
        <v>1.05</v>
      </c>
      <c r="P60" s="12">
        <f t="shared" si="4"/>
        <v>0</v>
      </c>
      <c r="Q60" s="44">
        <f t="shared" si="8"/>
        <v>0</v>
      </c>
    </row>
    <row r="61" spans="2:19" x14ac:dyDescent="0.15">
      <c r="B61" s="6" t="s">
        <v>15</v>
      </c>
      <c r="C61" s="75">
        <v>0</v>
      </c>
      <c r="D61" s="44">
        <f t="shared" si="5"/>
        <v>0</v>
      </c>
      <c r="E61" s="3">
        <f>INDEX('lookup lists'!$E$3:$G$19,MATCH('PH Analysis'!B61,'lookup lists'!$D$3:$D$19,0),MATCH('PH Analysis'!$H$49,'lookup lists'!$E$2:$G$2,0))</f>
        <v>1.1000000000000001</v>
      </c>
      <c r="F61" s="12">
        <f t="shared" si="3"/>
        <v>0</v>
      </c>
      <c r="G61" s="44">
        <f t="shared" si="6"/>
        <v>0</v>
      </c>
      <c r="L61" s="6" t="s">
        <v>15</v>
      </c>
      <c r="M61" s="75">
        <f t="shared" si="9"/>
        <v>0</v>
      </c>
      <c r="N61" s="44">
        <f t="shared" si="7"/>
        <v>0</v>
      </c>
      <c r="O61" s="3">
        <f>INDEX('lookup lists'!$E$3:$G$19,MATCH('PH Analysis'!L61,'lookup lists'!$D$3:$D$19,0),MATCH('PH Analysis'!$R$49,'lookup lists'!$E$2:$G$2,0))</f>
        <v>1.1000000000000001</v>
      </c>
      <c r="P61" s="12">
        <f t="shared" si="4"/>
        <v>0</v>
      </c>
      <c r="Q61" s="44">
        <f t="shared" si="8"/>
        <v>0</v>
      </c>
    </row>
    <row r="62" spans="2:19" x14ac:dyDescent="0.15">
      <c r="B62" s="6" t="s">
        <v>16</v>
      </c>
      <c r="C62" s="75">
        <v>0</v>
      </c>
      <c r="D62" s="44">
        <f t="shared" si="5"/>
        <v>0</v>
      </c>
      <c r="E62" s="3">
        <f>INDEX('lookup lists'!$E$3:$G$19,MATCH('PH Analysis'!B62,'lookup lists'!$D$3:$D$19,0),MATCH('PH Analysis'!$H$49,'lookup lists'!$E$2:$G$2,0))</f>
        <v>1</v>
      </c>
      <c r="F62" s="12">
        <f t="shared" si="3"/>
        <v>0</v>
      </c>
      <c r="G62" s="44">
        <f t="shared" si="6"/>
        <v>0</v>
      </c>
      <c r="L62" s="6" t="s">
        <v>16</v>
      </c>
      <c r="M62" s="75">
        <f t="shared" si="9"/>
        <v>0</v>
      </c>
      <c r="N62" s="44">
        <f t="shared" si="7"/>
        <v>0</v>
      </c>
      <c r="O62" s="3">
        <f>INDEX('lookup lists'!$E$3:$G$19,MATCH('PH Analysis'!L62,'lookup lists'!$D$3:$D$19,0),MATCH('PH Analysis'!$R$49,'lookup lists'!$E$2:$G$2,0))</f>
        <v>1</v>
      </c>
      <c r="P62" s="12">
        <f t="shared" si="4"/>
        <v>0</v>
      </c>
      <c r="Q62" s="44">
        <f t="shared" si="8"/>
        <v>0</v>
      </c>
    </row>
    <row r="63" spans="2:19" x14ac:dyDescent="0.15">
      <c r="B63" s="23" t="s">
        <v>17</v>
      </c>
      <c r="C63" s="75">
        <v>0</v>
      </c>
      <c r="D63" s="44">
        <f t="shared" si="5"/>
        <v>0</v>
      </c>
      <c r="E63" s="3">
        <f>INDEX('lookup lists'!$E$3:$G$19,MATCH('PH Analysis'!B63,'lookup lists'!$D$3:$D$19,0),MATCH('PH Analysis'!$H$49,'lookup lists'!$E$2:$G$2,0))</f>
        <v>1</v>
      </c>
      <c r="F63" s="24">
        <f t="shared" si="3"/>
        <v>0</v>
      </c>
      <c r="G63" s="44">
        <f t="shared" si="6"/>
        <v>0</v>
      </c>
      <c r="L63" s="23" t="s">
        <v>17</v>
      </c>
      <c r="M63" s="75">
        <f t="shared" si="9"/>
        <v>0</v>
      </c>
      <c r="N63" s="44">
        <f t="shared" si="7"/>
        <v>0</v>
      </c>
      <c r="O63" s="3">
        <f>INDEX('lookup lists'!$E$3:$G$19,MATCH('PH Analysis'!L63,'lookup lists'!$D$3:$D$19,0),MATCH('PH Analysis'!$R$49,'lookup lists'!$E$2:$G$2,0))</f>
        <v>1</v>
      </c>
      <c r="P63" s="24">
        <f t="shared" si="4"/>
        <v>0</v>
      </c>
      <c r="Q63" s="44">
        <f t="shared" si="8"/>
        <v>0</v>
      </c>
    </row>
    <row r="64" spans="2:19" x14ac:dyDescent="0.15">
      <c r="B64" s="23" t="s">
        <v>49</v>
      </c>
      <c r="C64" s="75">
        <v>0</v>
      </c>
      <c r="D64" s="44">
        <f t="shared" si="5"/>
        <v>0</v>
      </c>
      <c r="E64" s="3">
        <f>INDEX('lookup lists'!$E$3:$G$19,MATCH('PH Analysis'!B64,'lookup lists'!$D$3:$D$19,0),MATCH('PH Analysis'!$H$49,'lookup lists'!$E$2:$G$2,0))</f>
        <v>0.7</v>
      </c>
      <c r="F64" s="24">
        <f t="shared" si="3"/>
        <v>0</v>
      </c>
      <c r="G64" s="44">
        <f t="shared" si="6"/>
        <v>0</v>
      </c>
      <c r="L64" s="23" t="s">
        <v>49</v>
      </c>
      <c r="M64" s="75">
        <f t="shared" si="9"/>
        <v>0</v>
      </c>
      <c r="N64" s="44">
        <f t="shared" si="7"/>
        <v>0</v>
      </c>
      <c r="O64" s="3">
        <f>INDEX('lookup lists'!$E$3:$G$19,MATCH('PH Analysis'!L64,'lookup lists'!$D$3:$D$19,0),MATCH('PH Analysis'!$R$49,'lookup lists'!$E$2:$G$2,0))</f>
        <v>0.7</v>
      </c>
      <c r="P64" s="24">
        <f t="shared" si="4"/>
        <v>0</v>
      </c>
      <c r="Q64" s="44">
        <f t="shared" si="8"/>
        <v>0</v>
      </c>
    </row>
    <row r="65" spans="2:19" x14ac:dyDescent="0.15">
      <c r="B65" s="23" t="s">
        <v>50</v>
      </c>
      <c r="C65" s="75">
        <v>0</v>
      </c>
      <c r="D65" s="44">
        <f t="shared" si="5"/>
        <v>0</v>
      </c>
      <c r="E65" s="3">
        <f>INDEX('lookup lists'!$E$3:$G$19,MATCH('PH Analysis'!B65,'lookup lists'!$D$3:$D$19,0),MATCH('PH Analysis'!$H$49,'lookup lists'!$E$2:$G$2,0))</f>
        <v>0.7</v>
      </c>
      <c r="F65" s="24">
        <f t="shared" si="3"/>
        <v>0</v>
      </c>
      <c r="G65" s="44">
        <f t="shared" si="6"/>
        <v>0</v>
      </c>
      <c r="H65" s="11"/>
      <c r="L65" s="23" t="s">
        <v>50</v>
      </c>
      <c r="M65" s="75">
        <f t="shared" si="9"/>
        <v>0</v>
      </c>
      <c r="N65" s="44">
        <f t="shared" si="7"/>
        <v>0</v>
      </c>
      <c r="O65" s="3">
        <f>INDEX('lookup lists'!$E$3:$G$19,MATCH('PH Analysis'!L65,'lookup lists'!$D$3:$D$19,0),MATCH('PH Analysis'!$R$49,'lookup lists'!$E$2:$G$2,0))</f>
        <v>0.7</v>
      </c>
      <c r="P65" s="24">
        <f t="shared" si="4"/>
        <v>0</v>
      </c>
      <c r="Q65" s="44">
        <f t="shared" si="8"/>
        <v>0</v>
      </c>
      <c r="R65" s="11"/>
    </row>
    <row r="66" spans="2:19" x14ac:dyDescent="0.15">
      <c r="B66" s="39" t="s">
        <v>59</v>
      </c>
      <c r="C66" s="37"/>
      <c r="D66" s="52">
        <f>SUM(D51:D65)</f>
        <v>41.479649542015132</v>
      </c>
      <c r="E66" s="37"/>
      <c r="F66" s="38">
        <f>SUM(F51:F65)</f>
        <v>546759.16</v>
      </c>
      <c r="G66" s="49">
        <f>SUM(G51:G65)</f>
        <v>108.87279171644764</v>
      </c>
      <c r="H66" s="40" t="str">
        <f>IF(G66&lt;=38,"Pass","Fail")</f>
        <v>Fail</v>
      </c>
      <c r="L66" s="39" t="s">
        <v>59</v>
      </c>
      <c r="M66" s="37"/>
      <c r="N66" s="52">
        <f>SUM(N51:N65)</f>
        <v>44.409578860445912</v>
      </c>
      <c r="O66" s="37"/>
      <c r="P66" s="38">
        <f>SUM(P51:P65)</f>
        <v>21780.9</v>
      </c>
      <c r="Q66" s="49">
        <f>SUM(Q51:Q65)</f>
        <v>119.90586292320397</v>
      </c>
      <c r="R66" s="40" t="str">
        <f>IF(Q66&lt;=120,"Pass","Fail")</f>
        <v>Pass</v>
      </c>
    </row>
    <row r="67" spans="2:19" x14ac:dyDescent="0.15">
      <c r="F67" s="6" t="s">
        <v>63</v>
      </c>
      <c r="G67" s="13">
        <f>G66-38</f>
        <v>70.872791716447637</v>
      </c>
      <c r="I67" s="93">
        <f>G67/G66</f>
        <v>0.65096881047223798</v>
      </c>
      <c r="P67" s="6" t="s">
        <v>63</v>
      </c>
      <c r="Q67" s="13">
        <f>Q66-120</f>
        <v>-9.4137076796030783E-2</v>
      </c>
      <c r="S67" s="93">
        <f>Q67/Q66</f>
        <v>-7.8509152514354282E-4</v>
      </c>
    </row>
    <row r="69" spans="2:19" x14ac:dyDescent="0.15">
      <c r="B69" s="56" t="s">
        <v>38</v>
      </c>
      <c r="C69" s="57"/>
      <c r="D69" s="57"/>
      <c r="E69" s="57"/>
      <c r="F69" s="57"/>
      <c r="G69" s="57"/>
      <c r="H69" s="58"/>
      <c r="L69" s="56" t="s">
        <v>38</v>
      </c>
      <c r="M69" s="57"/>
      <c r="N69" s="57"/>
      <c r="O69" s="57"/>
      <c r="P69" s="57"/>
      <c r="Q69" s="57"/>
      <c r="R69" s="58"/>
    </row>
    <row r="73" spans="2:19" x14ac:dyDescent="0.15">
      <c r="B73" s="56" t="s">
        <v>102</v>
      </c>
      <c r="C73" s="57"/>
      <c r="D73" s="57"/>
      <c r="E73" s="57"/>
      <c r="F73" s="57"/>
      <c r="G73" s="57"/>
      <c r="H73" s="58"/>
      <c r="L73" s="56" t="s">
        <v>102</v>
      </c>
      <c r="M73" s="57"/>
      <c r="N73" s="57"/>
      <c r="O73" s="57"/>
      <c r="P73" s="57"/>
      <c r="Q73" s="57"/>
      <c r="R73" s="58"/>
    </row>
  </sheetData>
  <mergeCells count="2">
    <mergeCell ref="B49:C49"/>
    <mergeCell ref="L49:M49"/>
  </mergeCells>
  <phoneticPr fontId="16" type="noConversion"/>
  <hyperlinks>
    <hyperlink ref="G5" r:id="rId1" xr:uid="{00000000-0004-0000-0000-000000000000}"/>
  </hyperlinks>
  <pageMargins left="0.7" right="0.7" top="0.75" bottom="0.75" header="0.3" footer="0.3"/>
  <pageSetup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'lookup lists'!$E$2:$G$2</xm:f>
          </x14:formula1>
          <xm:sqref>H49 R49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9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22.83203125" customWidth="1"/>
    <col min="4" max="4" width="13.83203125" customWidth="1"/>
    <col min="5" max="5" width="13" customWidth="1"/>
    <col min="13" max="13" width="18.5" customWidth="1"/>
  </cols>
  <sheetData>
    <row r="2" spans="2:15" ht="27" x14ac:dyDescent="0.2">
      <c r="E2" s="27" t="s">
        <v>62</v>
      </c>
      <c r="F2" s="27" t="s">
        <v>3</v>
      </c>
      <c r="G2" s="28" t="s">
        <v>39</v>
      </c>
    </row>
    <row r="3" spans="2:15" ht="40" x14ac:dyDescent="0.2">
      <c r="D3" s="26" t="s">
        <v>23</v>
      </c>
      <c r="E3" s="32" t="s">
        <v>55</v>
      </c>
      <c r="F3" s="31" t="s">
        <v>54</v>
      </c>
      <c r="G3" s="31" t="s">
        <v>48</v>
      </c>
      <c r="H3" s="2"/>
      <c r="I3" s="2"/>
      <c r="J3" s="2"/>
      <c r="K3" s="2"/>
      <c r="L3" s="2"/>
      <c r="M3" s="2"/>
      <c r="N3" s="2"/>
      <c r="O3" s="2"/>
    </row>
    <row r="4" spans="2:15" ht="27" x14ac:dyDescent="0.2">
      <c r="B4" t="s">
        <v>0</v>
      </c>
      <c r="D4" s="25"/>
      <c r="E4" s="21" t="s">
        <v>56</v>
      </c>
      <c r="F4" s="30" t="s">
        <v>57</v>
      </c>
      <c r="G4" s="29"/>
      <c r="H4" s="10"/>
      <c r="I4" s="2"/>
      <c r="J4" s="2"/>
      <c r="K4" s="2"/>
      <c r="L4" s="10"/>
      <c r="M4" s="31" t="s">
        <v>52</v>
      </c>
      <c r="N4" s="2"/>
      <c r="O4" s="2"/>
    </row>
    <row r="5" spans="2:15" x14ac:dyDescent="0.2">
      <c r="B5" t="s">
        <v>1</v>
      </c>
      <c r="D5" s="6" t="s">
        <v>5</v>
      </c>
      <c r="E5" s="33">
        <v>3.1669999999999998</v>
      </c>
      <c r="F5" s="33">
        <v>2.7</v>
      </c>
      <c r="G5" s="33">
        <v>3.6579999999999999</v>
      </c>
      <c r="H5" s="2"/>
      <c r="I5" s="2"/>
      <c r="J5" s="2"/>
      <c r="K5" s="2"/>
      <c r="L5" s="2"/>
      <c r="M5" s="2" t="s">
        <v>40</v>
      </c>
      <c r="N5" s="2">
        <v>1.0289999999999999</v>
      </c>
      <c r="O5" s="2"/>
    </row>
    <row r="6" spans="2:15" x14ac:dyDescent="0.2">
      <c r="D6" s="6" t="s">
        <v>6</v>
      </c>
      <c r="E6" s="33">
        <v>1.0840000000000001</v>
      </c>
      <c r="F6" s="33">
        <v>1.1000000000000001</v>
      </c>
      <c r="G6" s="33">
        <v>1.0920000000000001</v>
      </c>
      <c r="H6" s="2"/>
      <c r="I6" s="2"/>
      <c r="J6" s="2"/>
      <c r="K6" s="2"/>
      <c r="L6" s="2"/>
      <c r="M6" s="2" t="s">
        <v>41</v>
      </c>
      <c r="N6" s="2">
        <v>1.048</v>
      </c>
      <c r="O6" s="2"/>
    </row>
    <row r="7" spans="2:15" x14ac:dyDescent="0.2">
      <c r="D7" s="6" t="s">
        <v>7</v>
      </c>
      <c r="E7" s="33">
        <v>1.056</v>
      </c>
      <c r="F7" s="35">
        <f>E7</f>
        <v>1.056</v>
      </c>
      <c r="G7" s="35">
        <f>E7</f>
        <v>1.056</v>
      </c>
      <c r="H7" s="2"/>
      <c r="I7" s="2"/>
      <c r="J7" s="2"/>
      <c r="K7" s="2"/>
      <c r="L7" s="2"/>
      <c r="M7" s="2" t="s">
        <v>42</v>
      </c>
      <c r="N7" s="2">
        <v>1.0660000000000001</v>
      </c>
      <c r="O7" s="2" t="s">
        <v>51</v>
      </c>
    </row>
    <row r="8" spans="2:15" x14ac:dyDescent="0.2">
      <c r="D8" s="6" t="s">
        <v>8</v>
      </c>
      <c r="E8" s="33">
        <v>3.613</v>
      </c>
      <c r="F8" s="33">
        <v>1.1000000000000001</v>
      </c>
      <c r="G8" s="35">
        <f>E8</f>
        <v>3.613</v>
      </c>
      <c r="H8" s="2"/>
      <c r="I8" s="2"/>
      <c r="J8" s="2"/>
      <c r="K8" s="2"/>
      <c r="L8" s="2"/>
      <c r="M8" s="2" t="s">
        <v>43</v>
      </c>
      <c r="N8" s="2">
        <v>1.1020000000000001</v>
      </c>
      <c r="O8" s="2">
        <f>AVERAGE(N5:N8)</f>
        <v>1.06125</v>
      </c>
    </row>
    <row r="9" spans="2:15" x14ac:dyDescent="0.2">
      <c r="D9" s="6" t="s">
        <v>9</v>
      </c>
      <c r="E9" s="33">
        <v>0.3</v>
      </c>
      <c r="F9" s="35">
        <f>E9</f>
        <v>0.3</v>
      </c>
      <c r="G9" s="35">
        <f>E9</f>
        <v>0.3</v>
      </c>
      <c r="H9" s="2"/>
      <c r="I9" s="2"/>
      <c r="J9" s="2"/>
      <c r="K9" s="2"/>
      <c r="L9" s="2"/>
      <c r="M9" s="2" t="s">
        <v>6</v>
      </c>
      <c r="N9" s="2">
        <v>1.0920000000000001</v>
      </c>
      <c r="O9" s="2"/>
    </row>
    <row r="10" spans="2:15" x14ac:dyDescent="0.2">
      <c r="D10" s="6" t="s">
        <v>10</v>
      </c>
      <c r="E10" s="33">
        <v>1.05</v>
      </c>
      <c r="F10" s="35">
        <f>E10</f>
        <v>1.05</v>
      </c>
      <c r="G10" s="33">
        <v>1.1870000000000001</v>
      </c>
      <c r="H10" s="2"/>
      <c r="I10" s="2"/>
      <c r="J10" s="2"/>
      <c r="K10" s="2"/>
      <c r="L10" s="2"/>
      <c r="M10" s="2" t="s">
        <v>44</v>
      </c>
      <c r="N10" s="2">
        <v>1.1910000000000001</v>
      </c>
      <c r="O10" s="2"/>
    </row>
    <row r="11" spans="2:15" x14ac:dyDescent="0.2">
      <c r="D11" s="6" t="s">
        <v>11</v>
      </c>
      <c r="E11" s="33">
        <v>1.05</v>
      </c>
      <c r="F11" s="35">
        <f>E11</f>
        <v>1.05</v>
      </c>
      <c r="G11" s="35">
        <f>E11</f>
        <v>1.05</v>
      </c>
      <c r="H11" s="2"/>
      <c r="I11" s="2"/>
      <c r="J11" s="2"/>
      <c r="K11" s="2"/>
      <c r="L11" s="2"/>
      <c r="M11" s="2" t="s">
        <v>45</v>
      </c>
      <c r="N11" s="2">
        <v>1.1579999999999999</v>
      </c>
      <c r="O11" s="2"/>
    </row>
    <row r="12" spans="2:15" x14ac:dyDescent="0.2">
      <c r="D12" s="6" t="s">
        <v>12</v>
      </c>
      <c r="E12" s="33">
        <v>1.05</v>
      </c>
      <c r="F12" s="33">
        <v>1.1000000000000001</v>
      </c>
      <c r="G12" s="33">
        <v>1.0609999999999999</v>
      </c>
      <c r="H12" s="2"/>
      <c r="I12" s="2"/>
      <c r="J12" s="2"/>
      <c r="K12" s="2"/>
      <c r="L12" s="2"/>
      <c r="M12" s="2" t="s">
        <v>10</v>
      </c>
      <c r="N12" s="2">
        <v>1.1870000000000001</v>
      </c>
      <c r="O12" s="2"/>
    </row>
    <row r="13" spans="2:15" x14ac:dyDescent="0.2">
      <c r="D13" s="6" t="s">
        <v>13</v>
      </c>
      <c r="E13" s="33">
        <v>1.05</v>
      </c>
      <c r="F13" s="33">
        <v>1.1000000000000001</v>
      </c>
      <c r="G13" s="35">
        <f>E13</f>
        <v>1.05</v>
      </c>
      <c r="H13" s="2"/>
      <c r="I13" s="2"/>
      <c r="J13" s="2"/>
      <c r="K13" s="2"/>
      <c r="L13" s="2"/>
      <c r="M13" s="2" t="s">
        <v>46</v>
      </c>
      <c r="N13" s="2">
        <v>1.151</v>
      </c>
      <c r="O13" s="2"/>
    </row>
    <row r="14" spans="2:15" x14ac:dyDescent="0.2">
      <c r="D14" s="6" t="s">
        <v>14</v>
      </c>
      <c r="E14" s="33">
        <v>1.05</v>
      </c>
      <c r="F14" s="35">
        <f>E14</f>
        <v>1.05</v>
      </c>
      <c r="G14" s="35">
        <f>E14</f>
        <v>1.05</v>
      </c>
      <c r="H14" s="2"/>
      <c r="I14" s="2"/>
      <c r="J14" s="2"/>
      <c r="K14" s="2"/>
      <c r="L14" s="2"/>
      <c r="M14" s="2" t="s">
        <v>47</v>
      </c>
      <c r="N14" s="2">
        <v>1.2050000000000001</v>
      </c>
      <c r="O14" s="2"/>
    </row>
    <row r="15" spans="2:15" x14ac:dyDescent="0.2">
      <c r="D15" s="6" t="s">
        <v>15</v>
      </c>
      <c r="E15" s="33">
        <v>1.05</v>
      </c>
      <c r="F15" s="33">
        <v>1.1000000000000001</v>
      </c>
      <c r="G15" s="33">
        <v>1.151</v>
      </c>
      <c r="H15" s="2"/>
      <c r="I15" s="2"/>
      <c r="J15" s="2"/>
      <c r="K15" s="2"/>
      <c r="L15" s="2"/>
      <c r="M15" s="2"/>
      <c r="N15" s="2"/>
      <c r="O15" s="2"/>
    </row>
    <row r="16" spans="2:15" x14ac:dyDescent="0.2">
      <c r="D16" s="6" t="s">
        <v>16</v>
      </c>
      <c r="E16" s="33">
        <v>1</v>
      </c>
      <c r="F16" s="35">
        <f>E16</f>
        <v>1</v>
      </c>
      <c r="G16" s="35">
        <f>E16</f>
        <v>1</v>
      </c>
      <c r="H16" s="2"/>
      <c r="I16" s="2"/>
      <c r="J16" s="2"/>
      <c r="K16" s="2"/>
      <c r="L16" s="2"/>
      <c r="M16" s="2" t="s">
        <v>53</v>
      </c>
      <c r="N16" s="2">
        <v>3.6579999999999999</v>
      </c>
      <c r="O16" s="2"/>
    </row>
    <row r="17" spans="4:15" x14ac:dyDescent="0.2">
      <c r="D17" s="23" t="s">
        <v>17</v>
      </c>
      <c r="E17" s="34">
        <v>1</v>
      </c>
      <c r="F17" s="35">
        <f>E17</f>
        <v>1</v>
      </c>
      <c r="G17" s="35">
        <f>E17</f>
        <v>1</v>
      </c>
      <c r="H17" s="2"/>
      <c r="I17" s="2"/>
      <c r="J17" s="2"/>
      <c r="K17" s="2"/>
      <c r="L17" s="2"/>
      <c r="M17" s="2"/>
      <c r="N17" s="2"/>
      <c r="O17" s="2"/>
    </row>
    <row r="18" spans="4:15" x14ac:dyDescent="0.2">
      <c r="D18" s="23" t="s">
        <v>49</v>
      </c>
      <c r="E18" s="35">
        <f>F18</f>
        <v>0.7</v>
      </c>
      <c r="F18" s="33">
        <v>0.7</v>
      </c>
      <c r="G18" s="35">
        <f>F18</f>
        <v>0.7</v>
      </c>
      <c r="H18" s="2"/>
      <c r="I18" s="2"/>
      <c r="J18" s="2"/>
      <c r="K18" s="2"/>
      <c r="L18" s="2"/>
      <c r="M18" s="2"/>
      <c r="N18" s="2"/>
      <c r="O18" s="2"/>
    </row>
    <row r="19" spans="4:15" x14ac:dyDescent="0.2">
      <c r="D19" s="23" t="s">
        <v>50</v>
      </c>
      <c r="E19" s="35">
        <f>E18</f>
        <v>0.7</v>
      </c>
      <c r="F19" s="35">
        <f>E19</f>
        <v>0.7</v>
      </c>
      <c r="G19" s="35">
        <f>E19</f>
        <v>0.7</v>
      </c>
      <c r="H19" s="2"/>
      <c r="I19" s="2"/>
      <c r="J19" s="2"/>
      <c r="K19" s="2"/>
      <c r="L19" s="2"/>
      <c r="M19" s="2"/>
      <c r="N19" s="2"/>
      <c r="O19" s="2"/>
    </row>
  </sheetData>
  <pageMargins left="0.7" right="0.7" top="0.75" bottom="0.75" header="0.3" footer="0.3"/>
  <ignoredErrors>
    <ignoredError sqref="G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Analysis</vt:lpstr>
      <vt:lpstr>lookup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Whitsett, Dason M</dc:creator>
  <cp:lastModifiedBy>Microsoft Office User</cp:lastModifiedBy>
  <dcterms:created xsi:type="dcterms:W3CDTF">2015-03-23T14:29:15Z</dcterms:created>
  <dcterms:modified xsi:type="dcterms:W3CDTF">2020-11-10T05:35:49Z</dcterms:modified>
</cp:coreProperties>
</file>